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_2\Desktop\"/>
    </mc:Choice>
  </mc:AlternateContent>
  <bookViews>
    <workbookView xWindow="0" yWindow="0" windowWidth="20400" windowHeight="7755" tabRatio="769"/>
  </bookViews>
  <sheets>
    <sheet name="Loan Eligible Calculation" sheetId="5" r:id="rId1"/>
  </sheets>
  <definedNames>
    <definedName name="_19_04_1987" comment="DD-MM-YYYY" localSheetId="0">'Loan Eligible Calculation'!$B$8</definedName>
    <definedName name="_19_04_1987" comment="DD-MM-YYYY">#REF!</definedName>
    <definedName name="_xlnm.Print_Area" localSheetId="0">'Loan Eligible Calculation'!$A$1:$N$91</definedName>
  </definedNames>
  <calcPr calcId="152511"/>
</workbook>
</file>

<file path=xl/calcChain.xml><?xml version="1.0" encoding="utf-8"?>
<calcChain xmlns="http://schemas.openxmlformats.org/spreadsheetml/2006/main">
  <c r="N33" i="5" l="1"/>
  <c r="N52" i="5" s="1"/>
  <c r="N18" i="5"/>
  <c r="N21" i="5" s="1"/>
  <c r="J50" i="5"/>
  <c r="J56" i="5" l="1"/>
  <c r="L29" i="5" l="1"/>
  <c r="J29" i="5"/>
  <c r="N58" i="5" s="1"/>
  <c r="R16" i="5"/>
  <c r="N55" i="5" l="1"/>
  <c r="L30" i="5"/>
  <c r="N34" i="5" s="1"/>
  <c r="N35" i="5" s="1"/>
  <c r="R8" i="5"/>
  <c r="R7" i="5"/>
  <c r="R6" i="5"/>
  <c r="R11" i="5" l="1"/>
  <c r="R12" i="5" s="1"/>
  <c r="R17" i="5" s="1"/>
  <c r="R9" i="5"/>
  <c r="B9" i="5" s="1"/>
  <c r="R10" i="5" l="1"/>
  <c r="L9" i="5"/>
  <c r="K36" i="5" s="1"/>
  <c r="N37" i="5" s="1"/>
  <c r="K38" i="5" s="1"/>
  <c r="Q17" i="5"/>
  <c r="K41" i="5" l="1"/>
  <c r="K39" i="5"/>
  <c r="B8" i="5"/>
  <c r="R18" i="5"/>
  <c r="N42" i="5" l="1"/>
  <c r="K45" i="5"/>
  <c r="N46" i="5" l="1"/>
  <c r="P45" i="5" s="1"/>
  <c r="P49" i="5" s="1"/>
  <c r="P50" i="5" s="1"/>
  <c r="P51" i="5" s="1"/>
  <c r="N47" i="5" l="1"/>
  <c r="N56" i="5" s="1"/>
  <c r="N50" i="5"/>
  <c r="N53" i="5" s="1"/>
  <c r="N54" i="5"/>
  <c r="N51" i="5"/>
  <c r="N57" i="5" l="1"/>
  <c r="N59" i="5" s="1"/>
  <c r="N48" i="5"/>
  <c r="N49" i="5" s="1"/>
</calcChain>
</file>

<file path=xl/sharedStrings.xml><?xml version="1.0" encoding="utf-8"?>
<sst xmlns="http://schemas.openxmlformats.org/spreadsheetml/2006/main" count="119" uniqueCount="102">
  <si>
    <t>Personal Details</t>
  </si>
  <si>
    <t>Applicant Information</t>
  </si>
  <si>
    <t>Occupation</t>
  </si>
  <si>
    <t>Telephone (Office)</t>
  </si>
  <si>
    <t>Telephone (House)</t>
  </si>
  <si>
    <t>Age</t>
  </si>
  <si>
    <t>Basic Salary</t>
  </si>
  <si>
    <t>Eligible Calculation</t>
  </si>
  <si>
    <t>Fixed Allowance</t>
  </si>
  <si>
    <t>Existing Deduction</t>
  </si>
  <si>
    <t>In-Transit</t>
  </si>
  <si>
    <t>Settlement Amount</t>
  </si>
  <si>
    <t>Total</t>
  </si>
  <si>
    <t>Tenure (Months)</t>
  </si>
  <si>
    <t>Tenure (Years)</t>
  </si>
  <si>
    <t>Total Max Loan Eligible</t>
  </si>
  <si>
    <t>Max Loan Eligible Calculation</t>
  </si>
  <si>
    <t>Yes</t>
  </si>
  <si>
    <t>No</t>
  </si>
  <si>
    <t>Note:</t>
  </si>
  <si>
    <t>Loan Calculation Applied by Customer</t>
  </si>
  <si>
    <t>Monthly Installment</t>
  </si>
  <si>
    <t>Telephone (Mobile)</t>
  </si>
  <si>
    <t>Applicant Name</t>
  </si>
  <si>
    <t>Net Financing Amount Before Settlement</t>
  </si>
  <si>
    <t>Net Financing Amount After Settlement</t>
  </si>
  <si>
    <t>Bank / Koperasi / Other FI</t>
  </si>
  <si>
    <t>Employment Details</t>
  </si>
  <si>
    <t>Age on Financing Maturity</t>
  </si>
  <si>
    <t>Yayasan Ihsan Rakyat</t>
  </si>
  <si>
    <t>Yayasan Dewan Perniagaan Melayu Perlis Bhd</t>
  </si>
  <si>
    <t>IC Number</t>
  </si>
  <si>
    <t>Employer Name</t>
  </si>
  <si>
    <t>Collection Fee 2.12%</t>
  </si>
  <si>
    <t>Birth Date</t>
  </si>
  <si>
    <t>Installment Amount</t>
  </si>
  <si>
    <t>Age of Retirement</t>
  </si>
  <si>
    <t>One Year before Age of Retirement</t>
  </si>
  <si>
    <t>Date</t>
  </si>
  <si>
    <t>Month</t>
  </si>
  <si>
    <t>Year</t>
  </si>
  <si>
    <t>Birthday</t>
  </si>
  <si>
    <t>Less:  Stamp Duty Charges</t>
  </si>
  <si>
    <t xml:space="preserve">           6% GST</t>
  </si>
  <si>
    <t xml:space="preserve">           Broker Charges</t>
  </si>
  <si>
    <t xml:space="preserve">           Admin Fee</t>
  </si>
  <si>
    <t xml:space="preserve">           Advance Installments</t>
  </si>
  <si>
    <t>Personal Financing Loan Calculator                           -</t>
  </si>
  <si>
    <t>This Personal Financing Loan Calculator is provided for illustrative purpose only. The results represented in this calculation are estimates only</t>
  </si>
  <si>
    <t>and should be used only as a reference.</t>
  </si>
  <si>
    <t>Max Eligible Deduction</t>
  </si>
  <si>
    <t>Total Eligible Deduction</t>
  </si>
  <si>
    <t>Grand Total Eligible Deduction</t>
  </si>
  <si>
    <t>Less:  Settlement Amount</t>
  </si>
  <si>
    <t>+604</t>
  </si>
  <si>
    <t>+603</t>
  </si>
  <si>
    <t>+6086</t>
  </si>
  <si>
    <t>+6087</t>
  </si>
  <si>
    <t>+6088</t>
  </si>
  <si>
    <t>+6089</t>
  </si>
  <si>
    <t>+605</t>
  </si>
  <si>
    <t>+607</t>
  </si>
  <si>
    <t>+6082</t>
  </si>
  <si>
    <t>+606</t>
  </si>
  <si>
    <t>Tel (House)</t>
  </si>
  <si>
    <t>Tel (Mobile)</t>
  </si>
  <si>
    <t>+609</t>
  </si>
  <si>
    <t>+6083</t>
  </si>
  <si>
    <t>+6084</t>
  </si>
  <si>
    <t>+6085</t>
  </si>
  <si>
    <t>+6010</t>
  </si>
  <si>
    <t>+6011</t>
  </si>
  <si>
    <t>+6012</t>
  </si>
  <si>
    <t>+6013</t>
  </si>
  <si>
    <t>+6014</t>
  </si>
  <si>
    <t>+6015</t>
  </si>
  <si>
    <t>+6016</t>
  </si>
  <si>
    <t>+6017</t>
  </si>
  <si>
    <t>+6018</t>
  </si>
  <si>
    <t>+6019</t>
  </si>
  <si>
    <t>Profit Rate (%)</t>
  </si>
  <si>
    <t>Payout (%)</t>
  </si>
  <si>
    <t>Membership Fee (Only Applicable to 1st Time Customers of YYP)</t>
  </si>
  <si>
    <t xml:space="preserve">           Subscription Fee</t>
  </si>
  <si>
    <t>Max Tenure Eligible (Years)</t>
  </si>
  <si>
    <t>Today</t>
  </si>
  <si>
    <t>Gross Income</t>
  </si>
  <si>
    <t>Max Financing Amount Eligible</t>
  </si>
  <si>
    <t>Financing Amount</t>
  </si>
  <si>
    <t>Age Retired</t>
  </si>
  <si>
    <t>Interest</t>
  </si>
  <si>
    <t>Payout</t>
  </si>
  <si>
    <t>YIR</t>
  </si>
  <si>
    <t>Advance Ist</t>
  </si>
  <si>
    <t>YYP</t>
  </si>
  <si>
    <t>Tenure Eligible (Years)</t>
  </si>
  <si>
    <t>Financing Amount Eligible</t>
  </si>
  <si>
    <t>By Customers</t>
  </si>
  <si>
    <t>MR:</t>
  </si>
  <si>
    <t>MR Code:</t>
  </si>
  <si>
    <t>Message to Credit Department:</t>
  </si>
  <si>
    <t>EFFICE CHEW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</si>
</sst>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dd/mm/yyyy;@"/>
    <numFmt numFmtId="165" formatCode="_([$RM-4409]* #,##0.00_);_([$RM-4409]* \(#,##0.00\);_([$RM-4409]* &quot;-&quot;??_);_(@_)"/>
    <numFmt numFmtId="166" formatCode="_(* #,##0_);_(* \(#,##0\);_(* &quot;-&quot;??_);_(@_)"/>
    <numFmt numFmtId="167" formatCode="0_);\(0\)"/>
    <numFmt numFmtId="168" formatCode="d/mm/yyyy;@"/>
    <numFmt numFmtId="169" formatCode="_(* #,##0.0_);_(* \(#,##0.0\);_(* &quot;-&quot;??_);_(@_)"/>
    <numFmt numFmtId="170" formatCode="0.0"/>
    <numFmt numFmtId="171" formatCode="_([$RM-43E]* #,##0.00_);_([$RM-43E]* \(#,##0.00\);_([$RM-43E]* &quot;-&quot;??_);_(@_)"/>
  </numFmts>
  <fonts count="10" x14ac:knownFonts="1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i/>
      <u/>
      <sz val="10"/>
      <color indexed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Calibri"/>
      <family val="2"/>
      <scheme val="minor"/>
    </font>
    <font>
      <sz val="13.5"/>
      <name val="Calibri"/>
      <family val="2"/>
      <scheme val="minor"/>
    </font>
    <font>
      <i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5"/>
        <bgColor indexed="49"/>
      </patternFill>
    </fill>
    <fill>
      <patternFill patternType="solid">
        <fgColor indexed="45"/>
        <bgColor indexed="2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7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9" fontId="1" fillId="0" borderId="0" xfId="2" applyFont="1" applyAlignment="1">
      <alignment vertical="center"/>
    </xf>
    <xf numFmtId="0" fontId="1" fillId="0" borderId="0" xfId="0" quotePrefix="1" applyFont="1" applyAlignment="1">
      <alignment vertical="center"/>
    </xf>
    <xf numFmtId="43" fontId="1" fillId="0" borderId="0" xfId="1" applyFont="1" applyAlignment="1">
      <alignment vertical="center"/>
    </xf>
    <xf numFmtId="168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1" xfId="0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Alignment="1">
      <alignment vertical="center"/>
    </xf>
    <xf numFmtId="1" fontId="1" fillId="0" borderId="0" xfId="1" applyNumberFormat="1" applyFont="1" applyAlignment="1">
      <alignment vertical="center"/>
    </xf>
    <xf numFmtId="0" fontId="4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69" fontId="4" fillId="0" borderId="1" xfId="1" applyNumberFormat="1" applyFont="1" applyFill="1" applyBorder="1" applyAlignment="1" applyProtection="1">
      <alignment vertical="center"/>
      <protection hidden="1"/>
    </xf>
    <xf numFmtId="170" fontId="1" fillId="0" borderId="0" xfId="0" applyNumberFormat="1" applyFont="1" applyAlignment="1">
      <alignment vertical="center"/>
    </xf>
    <xf numFmtId="170" fontId="1" fillId="0" borderId="0" xfId="1" applyNumberFormat="1" applyFont="1" applyAlignment="1">
      <alignment vertical="center"/>
    </xf>
    <xf numFmtId="165" fontId="2" fillId="0" borderId="3" xfId="0" applyNumberFormat="1" applyFont="1" applyFill="1" applyBorder="1" applyAlignment="1" applyProtection="1">
      <alignment vertical="center"/>
      <protection hidden="1"/>
    </xf>
    <xf numFmtId="165" fontId="4" fillId="0" borderId="3" xfId="0" applyNumberFormat="1" applyFont="1" applyFill="1" applyBorder="1" applyAlignment="1" applyProtection="1">
      <alignment vertical="center"/>
      <protection hidden="1"/>
    </xf>
    <xf numFmtId="165" fontId="4" fillId="0" borderId="2" xfId="0" applyNumberFormat="1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vertical="center"/>
    </xf>
    <xf numFmtId="165" fontId="4" fillId="0" borderId="3" xfId="0" applyNumberFormat="1" applyFont="1" applyFill="1" applyBorder="1" applyAlignment="1">
      <alignment vertical="center"/>
    </xf>
    <xf numFmtId="165" fontId="2" fillId="2" borderId="3" xfId="0" applyNumberFormat="1" applyFont="1" applyFill="1" applyBorder="1" applyAlignment="1" applyProtection="1">
      <alignment vertical="center"/>
      <protection hidden="1"/>
    </xf>
    <xf numFmtId="165" fontId="2" fillId="0" borderId="1" xfId="0" applyNumberFormat="1" applyFont="1" applyBorder="1" applyAlignment="1" applyProtection="1">
      <alignment horizontal="left" vertical="center"/>
      <protection hidden="1"/>
    </xf>
    <xf numFmtId="0" fontId="4" fillId="6" borderId="1" xfId="0" applyFont="1" applyFill="1" applyBorder="1" applyAlignment="1" applyProtection="1">
      <alignment horizontal="left" vertical="center"/>
      <protection locked="0"/>
    </xf>
    <xf numFmtId="165" fontId="2" fillId="6" borderId="3" xfId="0" applyNumberFormat="1" applyFont="1" applyFill="1" applyBorder="1" applyAlignment="1" applyProtection="1">
      <alignment vertical="center"/>
      <protection locked="0" hidden="1"/>
    </xf>
    <xf numFmtId="165" fontId="4" fillId="6" borderId="3" xfId="0" applyNumberFormat="1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 applyProtection="1">
      <alignment horizontal="center" vertical="center"/>
      <protection locked="0" hidden="1"/>
    </xf>
    <xf numFmtId="170" fontId="2" fillId="6" borderId="1" xfId="0" applyNumberFormat="1" applyFont="1" applyFill="1" applyBorder="1" applyAlignment="1" applyProtection="1">
      <alignment horizontal="center" vertical="center"/>
      <protection locked="0" hidden="1"/>
    </xf>
    <xf numFmtId="167" fontId="2" fillId="6" borderId="1" xfId="1" applyNumberFormat="1" applyFont="1" applyFill="1" applyBorder="1" applyAlignment="1" applyProtection="1">
      <alignment horizontal="center" vertical="center"/>
      <protection locked="0" hidden="1"/>
    </xf>
    <xf numFmtId="9" fontId="2" fillId="6" borderId="1" xfId="2" applyFont="1" applyFill="1" applyBorder="1" applyAlignment="1" applyProtection="1">
      <alignment horizontal="center" vertical="center"/>
      <protection locked="0" hidden="1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 applyProtection="1">
      <alignment vertical="top"/>
      <protection locked="0" hidden="1"/>
    </xf>
    <xf numFmtId="0" fontId="5" fillId="0" borderId="0" xfId="0" applyFont="1" applyBorder="1" applyAlignment="1" applyProtection="1">
      <alignment vertical="top"/>
      <protection hidden="1"/>
    </xf>
    <xf numFmtId="0" fontId="1" fillId="0" borderId="0" xfId="0" applyFont="1" applyAlignment="1" applyProtection="1">
      <alignment vertical="center"/>
      <protection hidden="1"/>
    </xf>
    <xf numFmtId="0" fontId="9" fillId="0" borderId="7" xfId="0" applyFont="1" applyBorder="1" applyAlignment="1" applyProtection="1">
      <alignment horizontal="left" vertical="top" wrapText="1"/>
      <protection hidden="1"/>
    </xf>
    <xf numFmtId="0" fontId="9" fillId="0" borderId="13" xfId="0" applyFont="1" applyBorder="1" applyAlignment="1" applyProtection="1">
      <alignment vertical="top" wrapText="1"/>
      <protection hidden="1"/>
    </xf>
    <xf numFmtId="0" fontId="9" fillId="0" borderId="13" xfId="0" applyFont="1" applyBorder="1" applyAlignment="1" applyProtection="1">
      <alignment horizontal="left" vertical="top" wrapText="1"/>
      <protection hidden="1"/>
    </xf>
    <xf numFmtId="0" fontId="9" fillId="0" borderId="9" xfId="0" applyFont="1" applyBorder="1" applyAlignment="1" applyProtection="1">
      <alignment horizontal="left" vertical="top" wrapText="1"/>
      <protection locked="0" hidden="1"/>
    </xf>
    <xf numFmtId="0" fontId="9" fillId="0" borderId="3" xfId="0" applyFont="1" applyBorder="1" applyAlignment="1" applyProtection="1">
      <alignment horizontal="left" vertical="top" wrapText="1"/>
      <protection locked="0" hidden="1"/>
    </xf>
    <xf numFmtId="0" fontId="9" fillId="0" borderId="19" xfId="0" applyFont="1" applyBorder="1" applyAlignment="1" applyProtection="1">
      <alignment horizontal="left" vertical="top" wrapText="1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9" fillId="0" borderId="20" xfId="0" applyFont="1" applyBorder="1" applyAlignment="1" applyProtection="1">
      <alignment horizontal="left" vertical="top" wrapText="1"/>
      <protection hidden="1"/>
    </xf>
    <xf numFmtId="0" fontId="9" fillId="0" borderId="19" xfId="0" applyFont="1" applyBorder="1" applyAlignment="1" applyProtection="1">
      <alignment horizontal="left" vertical="top" wrapText="1"/>
      <protection locked="0" hidden="1"/>
    </xf>
    <xf numFmtId="0" fontId="9" fillId="0" borderId="0" xfId="0" applyFont="1" applyBorder="1" applyAlignment="1" applyProtection="1">
      <alignment horizontal="left" vertical="top" wrapText="1"/>
      <protection locked="0" hidden="1"/>
    </xf>
    <xf numFmtId="0" fontId="9" fillId="0" borderId="20" xfId="0" applyFont="1" applyBorder="1" applyAlignment="1" applyProtection="1">
      <alignment horizontal="left" vertical="top" wrapText="1"/>
      <protection locked="0" hidden="1"/>
    </xf>
    <xf numFmtId="0" fontId="9" fillId="0" borderId="16" xfId="0" applyFont="1" applyBorder="1" applyAlignment="1" applyProtection="1">
      <alignment horizontal="left" vertical="top" wrapText="1"/>
      <protection locked="0" hidden="1"/>
    </xf>
    <xf numFmtId="0" fontId="9" fillId="0" borderId="17" xfId="0" applyFont="1" applyBorder="1" applyAlignment="1" applyProtection="1">
      <alignment horizontal="left" vertical="top" wrapText="1"/>
      <protection locked="0" hidden="1"/>
    </xf>
    <xf numFmtId="0" fontId="9" fillId="0" borderId="18" xfId="0" applyFont="1" applyBorder="1" applyAlignment="1" applyProtection="1">
      <alignment horizontal="left" vertical="top" wrapText="1"/>
      <protection locked="0" hidden="1"/>
    </xf>
    <xf numFmtId="0" fontId="4" fillId="0" borderId="2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4" fillId="0" borderId="13" xfId="0" applyFont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165" fontId="2" fillId="2" borderId="2" xfId="0" applyNumberFormat="1" applyFont="1" applyFill="1" applyBorder="1" applyAlignment="1" applyProtection="1">
      <alignment horizontal="center" vertical="center"/>
      <protection hidden="1"/>
    </xf>
    <xf numFmtId="165" fontId="2" fillId="2" borderId="9" xfId="0" applyNumberFormat="1" applyFont="1" applyFill="1" applyBorder="1" applyAlignment="1" applyProtection="1">
      <alignment horizontal="center" vertical="center"/>
      <protection hidden="1"/>
    </xf>
    <xf numFmtId="165" fontId="4" fillId="0" borderId="2" xfId="0" applyNumberFormat="1" applyFont="1" applyFill="1" applyBorder="1" applyAlignment="1" applyProtection="1">
      <alignment horizontal="center" vertical="center"/>
      <protection hidden="1"/>
    </xf>
    <xf numFmtId="165" fontId="4" fillId="0" borderId="9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9" xfId="0" applyNumberFormat="1" applyFont="1" applyFill="1" applyBorder="1" applyAlignment="1" applyProtection="1">
      <alignment horizontal="center" vertical="center"/>
      <protection hidden="1"/>
    </xf>
    <xf numFmtId="9" fontId="4" fillId="0" borderId="2" xfId="0" applyNumberFormat="1" applyFont="1" applyFill="1" applyBorder="1" applyAlignment="1">
      <alignment vertical="center"/>
    </xf>
    <xf numFmtId="9" fontId="4" fillId="0" borderId="9" xfId="0" applyNumberFormat="1" applyFont="1" applyFill="1" applyBorder="1" applyAlignment="1">
      <alignment vertical="center"/>
    </xf>
    <xf numFmtId="9" fontId="4" fillId="0" borderId="3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indent="13"/>
    </xf>
    <xf numFmtId="0" fontId="2" fillId="0" borderId="9" xfId="0" applyFont="1" applyFill="1" applyBorder="1" applyAlignment="1">
      <alignment horizontal="left" vertical="center" indent="13"/>
    </xf>
    <xf numFmtId="0" fontId="2" fillId="0" borderId="3" xfId="0" applyFont="1" applyFill="1" applyBorder="1" applyAlignment="1">
      <alignment horizontal="left" vertical="center" indent="13"/>
    </xf>
    <xf numFmtId="165" fontId="2" fillId="0" borderId="2" xfId="0" applyNumberFormat="1" applyFont="1" applyFill="1" applyBorder="1" applyAlignment="1" applyProtection="1">
      <alignment horizontal="left" vertical="center" indent="18"/>
      <protection hidden="1"/>
    </xf>
    <xf numFmtId="165" fontId="2" fillId="0" borderId="9" xfId="0" applyNumberFormat="1" applyFont="1" applyFill="1" applyBorder="1" applyAlignment="1" applyProtection="1">
      <alignment horizontal="left" vertical="center" indent="18"/>
      <protection hidden="1"/>
    </xf>
    <xf numFmtId="165" fontId="2" fillId="0" borderId="3" xfId="0" applyNumberFormat="1" applyFont="1" applyFill="1" applyBorder="1" applyAlignment="1" applyProtection="1">
      <alignment horizontal="left" vertical="center" indent="18"/>
      <protection hidden="1"/>
    </xf>
    <xf numFmtId="0" fontId="4" fillId="0" borderId="2" xfId="0" applyFont="1" applyFill="1" applyBorder="1" applyAlignment="1">
      <alignment horizontal="left" vertical="center" indent="13"/>
    </xf>
    <xf numFmtId="0" fontId="4" fillId="0" borderId="9" xfId="0" applyFont="1" applyFill="1" applyBorder="1" applyAlignment="1">
      <alignment horizontal="left" vertical="center" indent="13"/>
    </xf>
    <xf numFmtId="0" fontId="4" fillId="0" borderId="3" xfId="0" applyFont="1" applyFill="1" applyBorder="1" applyAlignment="1">
      <alignment horizontal="left" vertical="center" indent="13"/>
    </xf>
    <xf numFmtId="165" fontId="2" fillId="0" borderId="1" xfId="0" applyNumberFormat="1" applyFont="1" applyFill="1" applyBorder="1" applyAlignment="1">
      <alignment horizontal="left" vertical="center" indent="20"/>
    </xf>
    <xf numFmtId="43" fontId="4" fillId="0" borderId="2" xfId="1" applyFont="1" applyBorder="1" applyAlignment="1">
      <alignment horizontal="center" vertical="center"/>
    </xf>
    <xf numFmtId="43" fontId="4" fillId="0" borderId="9" xfId="1" applyFont="1" applyBorder="1" applyAlignment="1">
      <alignment horizontal="center" vertical="center"/>
    </xf>
    <xf numFmtId="43" fontId="4" fillId="0" borderId="3" xfId="1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43" fontId="4" fillId="6" borderId="2" xfId="1" applyFont="1" applyFill="1" applyBorder="1" applyAlignment="1" applyProtection="1">
      <alignment vertical="center"/>
      <protection locked="0" hidden="1"/>
    </xf>
    <xf numFmtId="43" fontId="4" fillId="6" borderId="9" xfId="1" applyFont="1" applyFill="1" applyBorder="1" applyAlignment="1" applyProtection="1">
      <alignment vertical="center"/>
      <protection locked="0" hidden="1"/>
    </xf>
    <xf numFmtId="43" fontId="4" fillId="6" borderId="3" xfId="1" applyFont="1" applyFill="1" applyBorder="1" applyAlignment="1" applyProtection="1">
      <alignment vertical="center"/>
      <protection locked="0"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9" xfId="0" applyNumberFormat="1" applyFont="1" applyFill="1" applyBorder="1" applyAlignment="1" applyProtection="1">
      <alignment horizontal="left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171" fontId="2" fillId="6" borderId="1" xfId="1" applyNumberFormat="1" applyFont="1" applyFill="1" applyBorder="1" applyAlignment="1" applyProtection="1">
      <alignment horizontal="center" vertical="center"/>
      <protection locked="0" hidden="1"/>
    </xf>
    <xf numFmtId="0" fontId="2" fillId="0" borderId="2" xfId="0" applyNumberFormat="1" applyFont="1" applyFill="1" applyBorder="1" applyAlignment="1" applyProtection="1">
      <alignment vertical="center"/>
      <protection hidden="1"/>
    </xf>
    <xf numFmtId="0" fontId="2" fillId="0" borderId="9" xfId="0" applyNumberFormat="1" applyFont="1" applyFill="1" applyBorder="1" applyAlignment="1" applyProtection="1">
      <alignment vertical="center"/>
      <protection hidden="1"/>
    </xf>
    <xf numFmtId="0" fontId="2" fillId="0" borderId="3" xfId="0" applyNumberFormat="1" applyFont="1" applyFill="1" applyBorder="1" applyAlignment="1" applyProtection="1">
      <alignment vertical="center"/>
      <protection hidden="1"/>
    </xf>
    <xf numFmtId="0" fontId="4" fillId="0" borderId="7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169" fontId="4" fillId="0" borderId="9" xfId="1" applyNumberFormat="1" applyFont="1" applyFill="1" applyBorder="1" applyAlignment="1" applyProtection="1">
      <alignment horizontal="right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6" fontId="4" fillId="0" borderId="2" xfId="1" applyNumberFormat="1" applyFont="1" applyFill="1" applyBorder="1" applyAlignment="1" applyProtection="1">
      <alignment horizontal="right" vertical="center"/>
      <protection hidden="1"/>
    </xf>
    <xf numFmtId="166" fontId="4" fillId="0" borderId="9" xfId="1" applyNumberFormat="1" applyFont="1" applyFill="1" applyBorder="1" applyAlignment="1" applyProtection="1">
      <alignment horizontal="right" vertical="center"/>
      <protection hidden="1"/>
    </xf>
    <xf numFmtId="166" fontId="4" fillId="0" borderId="3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9" xfId="1" applyNumberFormat="1" applyFont="1" applyFill="1" applyBorder="1" applyAlignment="1" applyProtection="1">
      <alignment horizontal="left" vertical="center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9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 applyProtection="1">
      <alignment horizontal="left" vertical="center" wrapText="1"/>
      <protection locked="0"/>
    </xf>
    <xf numFmtId="0" fontId="4" fillId="6" borderId="9" xfId="0" applyFont="1" applyFill="1" applyBorder="1" applyAlignment="1" applyProtection="1">
      <alignment horizontal="left" vertical="center" wrapText="1"/>
      <protection locked="0"/>
    </xf>
    <xf numFmtId="0" fontId="4" fillId="6" borderId="3" xfId="0" applyFont="1" applyFill="1" applyBorder="1" applyAlignment="1" applyProtection="1">
      <alignment horizontal="left" vertical="center" wrapText="1"/>
      <protection locked="0"/>
    </xf>
    <xf numFmtId="165" fontId="4" fillId="6" borderId="2" xfId="0" applyNumberFormat="1" applyFont="1" applyFill="1" applyBorder="1" applyAlignment="1" applyProtection="1">
      <alignment horizontal="center" vertical="center"/>
      <protection locked="0"/>
    </xf>
    <xf numFmtId="165" fontId="4" fillId="6" borderId="3" xfId="0" applyNumberFormat="1" applyFont="1" applyFill="1" applyBorder="1" applyAlignment="1" applyProtection="1">
      <alignment horizontal="center" vertical="center"/>
      <protection locked="0"/>
    </xf>
    <xf numFmtId="165" fontId="4" fillId="6" borderId="9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4" fillId="6" borderId="9" xfId="0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165" fontId="4" fillId="6" borderId="2" xfId="0" applyNumberFormat="1" applyFont="1" applyFill="1" applyBorder="1" applyAlignment="1" applyProtection="1">
      <alignment horizontal="center" vertical="center"/>
      <protection hidden="1"/>
    </xf>
    <xf numFmtId="165" fontId="4" fillId="6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 applyProtection="1">
      <alignment horizontal="left" vertical="center" indent="19"/>
      <protection locked="0"/>
    </xf>
    <xf numFmtId="165" fontId="4" fillId="0" borderId="9" xfId="0" applyNumberFormat="1" applyFont="1" applyFill="1" applyBorder="1" applyAlignment="1" applyProtection="1">
      <alignment horizontal="left" vertical="center" indent="19"/>
      <protection locked="0"/>
    </xf>
    <xf numFmtId="165" fontId="4" fillId="0" borderId="3" xfId="0" applyNumberFormat="1" applyFont="1" applyFill="1" applyBorder="1" applyAlignment="1" applyProtection="1">
      <alignment horizontal="left" vertical="center" indent="19"/>
      <protection locked="0"/>
    </xf>
    <xf numFmtId="0" fontId="4" fillId="0" borderId="11" xfId="0" applyFont="1" applyFill="1" applyBorder="1" applyAlignment="1">
      <alignment horizontal="left" vertical="center" indent="13"/>
    </xf>
    <xf numFmtId="0" fontId="4" fillId="0" borderId="5" xfId="0" applyFont="1" applyFill="1" applyBorder="1" applyAlignment="1">
      <alignment horizontal="left" vertical="center" indent="13"/>
    </xf>
    <xf numFmtId="0" fontId="4" fillId="0" borderId="14" xfId="0" applyFont="1" applyFill="1" applyBorder="1" applyAlignment="1">
      <alignment horizontal="left" vertical="center" indent="13"/>
    </xf>
    <xf numFmtId="165" fontId="4" fillId="0" borderId="10" xfId="0" applyNumberFormat="1" applyFont="1" applyFill="1" applyBorder="1" applyAlignment="1" applyProtection="1">
      <alignment horizontal="left" vertical="center" indent="19"/>
      <protection locked="0"/>
    </xf>
    <xf numFmtId="165" fontId="2" fillId="6" borderId="2" xfId="0" applyNumberFormat="1" applyFont="1" applyFill="1" applyBorder="1" applyAlignment="1" applyProtection="1">
      <alignment horizontal="center" vertical="center"/>
      <protection hidden="1"/>
    </xf>
    <xf numFmtId="165" fontId="2" fillId="6" borderId="9" xfId="0" applyNumberFormat="1" applyFont="1" applyFill="1" applyBorder="1" applyAlignment="1" applyProtection="1">
      <alignment horizontal="center" vertical="center"/>
      <protection hidden="1"/>
    </xf>
    <xf numFmtId="0" fontId="4" fillId="6" borderId="2" xfId="0" quotePrefix="1" applyFont="1" applyFill="1" applyBorder="1" applyAlignment="1" applyProtection="1">
      <alignment horizontal="left" vertical="center"/>
      <protection locked="0"/>
    </xf>
    <xf numFmtId="0" fontId="4" fillId="6" borderId="9" xfId="0" quotePrefix="1" applyFont="1" applyFill="1" applyBorder="1" applyAlignment="1" applyProtection="1">
      <alignment horizontal="left" vertical="center"/>
      <protection locked="0"/>
    </xf>
    <xf numFmtId="0" fontId="4" fillId="6" borderId="3" xfId="0" quotePrefix="1" applyFont="1" applyFill="1" applyBorder="1" applyAlignment="1" applyProtection="1">
      <alignment horizontal="left" vertical="center"/>
      <protection locked="0"/>
    </xf>
    <xf numFmtId="0" fontId="4" fillId="6" borderId="2" xfId="0" quotePrefix="1" applyFont="1" applyFill="1" applyBorder="1" applyAlignment="1" applyProtection="1">
      <alignment horizontal="right" vertical="center"/>
      <protection locked="0" hidden="1"/>
    </xf>
    <xf numFmtId="0" fontId="4" fillId="6" borderId="3" xfId="0" quotePrefix="1" applyFont="1" applyFill="1" applyBorder="1" applyAlignment="1" applyProtection="1">
      <alignment horizontal="right" vertical="center"/>
      <protection locked="0" hidden="1"/>
    </xf>
    <xf numFmtId="0" fontId="4" fillId="6" borderId="2" xfId="0" applyFont="1" applyFill="1" applyBorder="1" applyAlignment="1" applyProtection="1">
      <alignment horizontal="left" vertical="center"/>
      <protection locked="0"/>
    </xf>
    <xf numFmtId="0" fontId="4" fillId="6" borderId="9" xfId="0" applyFont="1" applyFill="1" applyBorder="1" applyAlignment="1" applyProtection="1">
      <alignment horizontal="left" vertical="center"/>
      <protection locked="0"/>
    </xf>
    <xf numFmtId="0" fontId="4" fillId="6" borderId="3" xfId="0" applyFont="1" applyFill="1" applyBorder="1" applyAlignment="1" applyProtection="1">
      <alignment horizontal="left" vertical="center"/>
      <protection locked="0"/>
    </xf>
    <xf numFmtId="164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6" borderId="2" xfId="0" applyFont="1" applyFill="1" applyBorder="1" applyAlignment="1" applyProtection="1">
      <alignment horizontal="left" vertical="center"/>
      <protection locked="0" hidden="1"/>
    </xf>
    <xf numFmtId="0" fontId="4" fillId="6" borderId="9" xfId="0" applyFont="1" applyFill="1" applyBorder="1" applyAlignment="1" applyProtection="1">
      <alignment horizontal="left" vertical="center"/>
      <protection locked="0" hidden="1"/>
    </xf>
    <xf numFmtId="0" fontId="4" fillId="6" borderId="3" xfId="0" applyFont="1" applyFill="1" applyBorder="1" applyAlignment="1" applyProtection="1">
      <alignment horizontal="left"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hidden="1"/>
    </xf>
    <xf numFmtId="0" fontId="4" fillId="0" borderId="6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7" xfId="0" quotePrefix="1" applyFont="1" applyFill="1" applyBorder="1" applyAlignment="1" applyProtection="1">
      <alignment horizontal="left" vertical="center"/>
      <protection hidden="1"/>
    </xf>
    <xf numFmtId="0" fontId="4" fillId="0" borderId="13" xfId="0" quotePrefix="1" applyFont="1" applyFill="1" applyBorder="1" applyAlignment="1" applyProtection="1">
      <alignment horizontal="left" vertical="center"/>
      <protection hidden="1"/>
    </xf>
    <xf numFmtId="0" fontId="4" fillId="0" borderId="8" xfId="0" quotePrefix="1" applyFont="1" applyFill="1" applyBorder="1" applyAlignment="1" applyProtection="1">
      <alignment horizontal="left" vertical="center"/>
      <protection hidden="1"/>
    </xf>
    <xf numFmtId="0" fontId="4" fillId="0" borderId="16" xfId="0" quotePrefix="1" applyFont="1" applyFill="1" applyBorder="1" applyAlignment="1" applyProtection="1">
      <alignment horizontal="left" vertical="center"/>
      <protection hidden="1"/>
    </xf>
    <xf numFmtId="0" fontId="4" fillId="0" borderId="17" xfId="0" quotePrefix="1" applyFont="1" applyFill="1" applyBorder="1" applyAlignment="1" applyProtection="1">
      <alignment horizontal="left" vertical="center"/>
      <protection hidden="1"/>
    </xf>
    <xf numFmtId="0" fontId="4" fillId="0" borderId="18" xfId="0" quotePrefix="1" applyFont="1" applyFill="1" applyBorder="1" applyAlignment="1" applyProtection="1">
      <alignment horizontal="left" vertical="center"/>
      <protection hidden="1"/>
    </xf>
    <xf numFmtId="1" fontId="4" fillId="6" borderId="2" xfId="0" applyNumberFormat="1" applyFont="1" applyFill="1" applyBorder="1" applyAlignment="1" applyProtection="1">
      <alignment horizontal="left" vertical="center"/>
      <protection locked="0"/>
    </xf>
    <xf numFmtId="1" fontId="4" fillId="6" borderId="9" xfId="0" applyNumberFormat="1" applyFont="1" applyFill="1" applyBorder="1" applyAlignment="1" applyProtection="1">
      <alignment horizontal="left" vertical="center"/>
      <protection locked="0"/>
    </xf>
    <xf numFmtId="1" fontId="4" fillId="6" borderId="3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7" fillId="6" borderId="0" xfId="0" applyFont="1" applyFill="1" applyAlignment="1" applyProtection="1">
      <alignment horizontal="left" vertical="center"/>
      <protection locked="0" hidden="1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92"/>
  <sheetViews>
    <sheetView showGridLines="0" tabSelected="1" showWhiteSpace="0" view="pageLayout" zoomScale="145" zoomScaleNormal="110" zoomScalePageLayoutView="145" workbookViewId="0">
      <selection activeCell="N19" sqref="N19"/>
    </sheetView>
  </sheetViews>
  <sheetFormatPr defaultColWidth="0" defaultRowHeight="12" zeroHeight="1" x14ac:dyDescent="0.25"/>
  <cols>
    <col min="1" max="1" width="19.7109375" style="2" customWidth="1"/>
    <col min="2" max="2" width="3.42578125" style="2" customWidth="1"/>
    <col min="3" max="3" width="2.140625" style="2" customWidth="1"/>
    <col min="4" max="4" width="1" style="2" customWidth="1"/>
    <col min="5" max="5" width="0.85546875" style="2" customWidth="1"/>
    <col min="6" max="6" width="2.7109375" style="2" customWidth="1"/>
    <col min="7" max="7" width="0.85546875" style="2" customWidth="1"/>
    <col min="8" max="8" width="3.42578125" style="2" customWidth="1"/>
    <col min="9" max="9" width="16.7109375" style="2" customWidth="1"/>
    <col min="10" max="10" width="7.140625" style="2" customWidth="1"/>
    <col min="11" max="11" width="17.140625" style="2" customWidth="1"/>
    <col min="12" max="12" width="3.42578125" style="2" customWidth="1"/>
    <col min="13" max="13" width="2.140625" style="2" customWidth="1"/>
    <col min="14" max="14" width="24.7109375" style="2" customWidth="1"/>
    <col min="15" max="15" width="2.85546875" style="2" customWidth="1"/>
    <col min="16" max="16" width="13.7109375" style="2" hidden="1" customWidth="1"/>
    <col min="17" max="17" width="8.85546875" style="2" hidden="1" customWidth="1"/>
    <col min="18" max="18" width="10.85546875" style="2" hidden="1" customWidth="1"/>
    <col min="19" max="16384" width="8.85546875" style="2" hidden="1"/>
  </cols>
  <sheetData>
    <row r="1" spans="1:25" ht="18" customHeight="1" x14ac:dyDescent="0.25">
      <c r="W1" s="2" t="s">
        <v>89</v>
      </c>
      <c r="X1" s="2" t="s">
        <v>90</v>
      </c>
      <c r="Y1" s="2" t="s">
        <v>91</v>
      </c>
    </row>
    <row r="2" spans="1:25" s="13" customFormat="1" ht="18" x14ac:dyDescent="0.25">
      <c r="A2" s="195" t="s">
        <v>47</v>
      </c>
      <c r="B2" s="195"/>
      <c r="C2" s="195"/>
      <c r="D2" s="195"/>
      <c r="E2" s="195"/>
      <c r="F2" s="195"/>
      <c r="G2" s="195"/>
      <c r="H2" s="195"/>
      <c r="I2" s="195"/>
      <c r="J2" s="196" t="s">
        <v>30</v>
      </c>
      <c r="K2" s="196"/>
      <c r="L2" s="196"/>
      <c r="M2" s="196"/>
      <c r="N2" s="196"/>
      <c r="O2" s="14"/>
      <c r="Q2" s="2" t="s">
        <v>30</v>
      </c>
      <c r="W2" s="2">
        <v>50</v>
      </c>
      <c r="X2" s="2">
        <v>6.88</v>
      </c>
      <c r="Y2" s="2">
        <v>70</v>
      </c>
    </row>
    <row r="3" spans="1:25" ht="12.75" x14ac:dyDescent="0.25">
      <c r="A3" s="3"/>
      <c r="B3" s="3"/>
      <c r="C3" s="3"/>
      <c r="D3" s="3"/>
      <c r="E3" s="3"/>
      <c r="F3" s="3"/>
      <c r="G3" s="3"/>
      <c r="H3" s="3"/>
      <c r="N3" s="4"/>
      <c r="Q3" s="2" t="s">
        <v>29</v>
      </c>
      <c r="W3" s="2">
        <v>51</v>
      </c>
      <c r="X3" s="2">
        <v>6.99</v>
      </c>
      <c r="Y3" s="2">
        <v>71</v>
      </c>
    </row>
    <row r="4" spans="1:25" ht="14.45" customHeight="1" x14ac:dyDescent="0.25">
      <c r="A4" s="146" t="s">
        <v>1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W4" s="2">
        <v>52</v>
      </c>
      <c r="X4" s="2">
        <v>7.99</v>
      </c>
      <c r="Y4" s="2">
        <v>72</v>
      </c>
    </row>
    <row r="5" spans="1:25" ht="14.45" customHeight="1" x14ac:dyDescent="0.25">
      <c r="A5" s="197" t="s">
        <v>0</v>
      </c>
      <c r="B5" s="198"/>
      <c r="C5" s="198"/>
      <c r="D5" s="198"/>
      <c r="E5" s="198"/>
      <c r="F5" s="198"/>
      <c r="G5" s="198"/>
      <c r="H5" s="198"/>
      <c r="I5" s="198"/>
      <c r="J5" s="199"/>
      <c r="K5" s="200" t="s">
        <v>27</v>
      </c>
      <c r="L5" s="200"/>
      <c r="M5" s="200"/>
      <c r="N5" s="200"/>
      <c r="P5" s="5"/>
      <c r="Q5" s="5"/>
      <c r="W5" s="2">
        <v>53</v>
      </c>
      <c r="X5" s="2">
        <v>8.99</v>
      </c>
      <c r="Y5" s="2">
        <v>73</v>
      </c>
    </row>
    <row r="6" spans="1:25" ht="14.45" customHeight="1" x14ac:dyDescent="0.25">
      <c r="A6" s="9" t="s">
        <v>23</v>
      </c>
      <c r="B6" s="176"/>
      <c r="C6" s="177"/>
      <c r="D6" s="177"/>
      <c r="E6" s="177"/>
      <c r="F6" s="177"/>
      <c r="G6" s="177"/>
      <c r="H6" s="177"/>
      <c r="I6" s="177"/>
      <c r="J6" s="178"/>
      <c r="K6" s="10" t="s">
        <v>32</v>
      </c>
      <c r="L6" s="176"/>
      <c r="M6" s="177"/>
      <c r="N6" s="178"/>
      <c r="P6" s="5"/>
      <c r="Q6" s="5" t="s">
        <v>38</v>
      </c>
      <c r="R6" s="2" t="str">
        <f>MID(B7,5,2)</f>
        <v/>
      </c>
      <c r="S6" s="2" t="s">
        <v>64</v>
      </c>
      <c r="T6" s="16" t="s">
        <v>55</v>
      </c>
      <c r="U6" s="2" t="s">
        <v>65</v>
      </c>
      <c r="V6" s="16" t="s">
        <v>70</v>
      </c>
      <c r="W6" s="2">
        <v>54</v>
      </c>
      <c r="X6" s="22">
        <v>10</v>
      </c>
      <c r="Y6" s="2">
        <v>74</v>
      </c>
    </row>
    <row r="7" spans="1:25" ht="14.45" customHeight="1" x14ac:dyDescent="0.25">
      <c r="A7" s="9" t="s">
        <v>31</v>
      </c>
      <c r="B7" s="192"/>
      <c r="C7" s="193"/>
      <c r="D7" s="193"/>
      <c r="E7" s="193"/>
      <c r="F7" s="193"/>
      <c r="G7" s="193"/>
      <c r="H7" s="193"/>
      <c r="I7" s="193"/>
      <c r="J7" s="194"/>
      <c r="K7" s="10" t="s">
        <v>2</v>
      </c>
      <c r="L7" s="176"/>
      <c r="M7" s="177"/>
      <c r="N7" s="178"/>
      <c r="Q7" s="2" t="s">
        <v>39</v>
      </c>
      <c r="R7" s="2" t="str">
        <f>MID(B7,3,2)</f>
        <v/>
      </c>
      <c r="T7" s="16" t="s">
        <v>54</v>
      </c>
      <c r="V7" s="16" t="s">
        <v>71</v>
      </c>
      <c r="W7" s="2">
        <v>55</v>
      </c>
      <c r="X7" s="22">
        <v>11</v>
      </c>
      <c r="Y7" s="2">
        <v>75</v>
      </c>
    </row>
    <row r="8" spans="1:25" ht="14.45" customHeight="1" x14ac:dyDescent="0.25">
      <c r="A8" s="9" t="s">
        <v>34</v>
      </c>
      <c r="B8" s="179" t="e">
        <f>R10</f>
        <v>#VALUE!</v>
      </c>
      <c r="C8" s="179"/>
      <c r="D8" s="179"/>
      <c r="E8" s="179"/>
      <c r="F8" s="179"/>
      <c r="G8" s="179"/>
      <c r="H8" s="179"/>
      <c r="I8" s="179"/>
      <c r="J8" s="179"/>
      <c r="K8" s="10" t="s">
        <v>36</v>
      </c>
      <c r="L8" s="180"/>
      <c r="M8" s="181"/>
      <c r="N8" s="182"/>
      <c r="P8" s="5"/>
      <c r="Q8" s="5" t="s">
        <v>40</v>
      </c>
      <c r="R8" s="5" t="str">
        <f>LEFT(B7,2)</f>
        <v/>
      </c>
      <c r="T8" s="16" t="s">
        <v>60</v>
      </c>
      <c r="V8" s="16" t="s">
        <v>72</v>
      </c>
      <c r="W8" s="2">
        <v>56</v>
      </c>
      <c r="Y8" s="2">
        <v>76</v>
      </c>
    </row>
    <row r="9" spans="1:25" ht="14.45" customHeight="1" x14ac:dyDescent="0.25">
      <c r="A9" s="9" t="s">
        <v>5</v>
      </c>
      <c r="B9" s="183" t="e">
        <f ca="1">DATEDIF(R9,TODAY(),"Y")</f>
        <v>#VALUE!</v>
      </c>
      <c r="C9" s="183"/>
      <c r="D9" s="183"/>
      <c r="E9" s="183"/>
      <c r="F9" s="183"/>
      <c r="G9" s="183"/>
      <c r="H9" s="183"/>
      <c r="I9" s="183"/>
      <c r="J9" s="183"/>
      <c r="K9" s="184" t="s">
        <v>37</v>
      </c>
      <c r="L9" s="186">
        <f>L8-1</f>
        <v>-1</v>
      </c>
      <c r="M9" s="187"/>
      <c r="N9" s="188"/>
      <c r="P9" s="5"/>
      <c r="Q9" s="5" t="s">
        <v>41</v>
      </c>
      <c r="R9" s="5" t="str">
        <f>R6&amp;"/"&amp;R7&amp;"/"&amp;R8</f>
        <v>//</v>
      </c>
      <c r="T9" s="16" t="s">
        <v>63</v>
      </c>
      <c r="V9" s="16" t="s">
        <v>73</v>
      </c>
      <c r="W9" s="2">
        <v>57</v>
      </c>
      <c r="Y9" s="2">
        <v>77</v>
      </c>
    </row>
    <row r="10" spans="1:25" ht="15" x14ac:dyDescent="0.25">
      <c r="A10" s="9" t="s">
        <v>4</v>
      </c>
      <c r="B10" s="174"/>
      <c r="C10" s="175"/>
      <c r="D10" s="171"/>
      <c r="E10" s="172"/>
      <c r="F10" s="172"/>
      <c r="G10" s="172"/>
      <c r="H10" s="172"/>
      <c r="I10" s="172"/>
      <c r="J10" s="173"/>
      <c r="K10" s="185"/>
      <c r="L10" s="189"/>
      <c r="M10" s="190"/>
      <c r="N10" s="191"/>
      <c r="P10" s="1"/>
      <c r="Q10" s="5" t="s">
        <v>41</v>
      </c>
      <c r="R10" s="19" t="e">
        <f>DATEVALUE(R9)</f>
        <v>#VALUE!</v>
      </c>
      <c r="T10" s="16" t="s">
        <v>61</v>
      </c>
      <c r="V10" s="16" t="s">
        <v>74</v>
      </c>
      <c r="W10" s="2">
        <v>58</v>
      </c>
      <c r="Y10" s="2">
        <v>78</v>
      </c>
    </row>
    <row r="11" spans="1:25" ht="15" customHeight="1" x14ac:dyDescent="0.25">
      <c r="A11" s="9" t="s">
        <v>22</v>
      </c>
      <c r="B11" s="174" t="s">
        <v>71</v>
      </c>
      <c r="C11" s="175"/>
      <c r="D11" s="171"/>
      <c r="E11" s="172"/>
      <c r="F11" s="172"/>
      <c r="G11" s="172"/>
      <c r="H11" s="172"/>
      <c r="I11" s="172"/>
      <c r="J11" s="173"/>
      <c r="K11" s="10" t="s">
        <v>3</v>
      </c>
      <c r="L11" s="174" t="s">
        <v>61</v>
      </c>
      <c r="M11" s="175"/>
      <c r="N11" s="38"/>
      <c r="P11" s="5"/>
      <c r="Q11" s="5" t="s">
        <v>41</v>
      </c>
      <c r="R11" s="5" t="str">
        <f>R7&amp;"/"&amp;R6&amp;"/"&amp;R8</f>
        <v>//</v>
      </c>
      <c r="T11" s="16" t="s">
        <v>66</v>
      </c>
      <c r="V11" s="16" t="s">
        <v>75</v>
      </c>
      <c r="W11" s="2">
        <v>59</v>
      </c>
      <c r="Y11" s="2">
        <v>79</v>
      </c>
    </row>
    <row r="12" spans="1:25" ht="14.45" customHeight="1" x14ac:dyDescent="0.25">
      <c r="A12" s="156"/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8"/>
      <c r="Q12" s="5" t="s">
        <v>41</v>
      </c>
      <c r="R12" s="18" t="e">
        <f>DATEVALUE(R11)</f>
        <v>#VALUE!</v>
      </c>
      <c r="T12" s="16" t="s">
        <v>62</v>
      </c>
      <c r="V12" s="16" t="s">
        <v>76</v>
      </c>
      <c r="W12" s="2">
        <v>60</v>
      </c>
      <c r="Y12" s="2">
        <v>80</v>
      </c>
    </row>
    <row r="13" spans="1:25" ht="12.75" x14ac:dyDescent="0.25">
      <c r="A13" s="159" t="s">
        <v>7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1"/>
      <c r="T13" s="16" t="s">
        <v>67</v>
      </c>
      <c r="V13" s="16" t="s">
        <v>77</v>
      </c>
      <c r="Y13" s="2">
        <v>81</v>
      </c>
    </row>
    <row r="14" spans="1:25" ht="12.75" hidden="1" x14ac:dyDescent="0.25">
      <c r="A14" s="90" t="s">
        <v>6</v>
      </c>
      <c r="B14" s="91"/>
      <c r="C14" s="91"/>
      <c r="D14" s="91"/>
      <c r="E14" s="91"/>
      <c r="F14" s="91"/>
      <c r="G14" s="91"/>
      <c r="H14" s="91"/>
      <c r="I14" s="91"/>
      <c r="J14" s="92"/>
      <c r="K14" s="162">
        <v>10000</v>
      </c>
      <c r="L14" s="163"/>
      <c r="M14" s="163"/>
      <c r="N14" s="164"/>
      <c r="R14" s="20"/>
      <c r="T14" s="16" t="s">
        <v>68</v>
      </c>
      <c r="V14" s="16" t="s">
        <v>78</v>
      </c>
      <c r="Y14" s="2">
        <v>82</v>
      </c>
    </row>
    <row r="15" spans="1:25" ht="12.75" hidden="1" x14ac:dyDescent="0.25">
      <c r="A15" s="165" t="s">
        <v>8</v>
      </c>
      <c r="B15" s="166"/>
      <c r="C15" s="166"/>
      <c r="D15" s="166"/>
      <c r="E15" s="166"/>
      <c r="F15" s="166"/>
      <c r="G15" s="166"/>
      <c r="H15" s="166"/>
      <c r="I15" s="166"/>
      <c r="J15" s="167"/>
      <c r="K15" s="168">
        <v>715</v>
      </c>
      <c r="L15" s="168"/>
      <c r="M15" s="168"/>
      <c r="N15" s="168"/>
      <c r="R15" s="21"/>
      <c r="T15" s="16" t="s">
        <v>69</v>
      </c>
      <c r="V15" s="16" t="s">
        <v>79</v>
      </c>
      <c r="Y15" s="2">
        <v>83</v>
      </c>
    </row>
    <row r="16" spans="1:25" ht="12.75" x14ac:dyDescent="0.25">
      <c r="A16" s="150" t="s">
        <v>86</v>
      </c>
      <c r="B16" s="151"/>
      <c r="C16" s="151"/>
      <c r="D16" s="151"/>
      <c r="E16" s="151"/>
      <c r="F16" s="151"/>
      <c r="G16" s="151"/>
      <c r="H16" s="151"/>
      <c r="I16" s="151"/>
      <c r="J16" s="152"/>
      <c r="K16" s="169"/>
      <c r="L16" s="170"/>
      <c r="M16" s="170"/>
      <c r="N16" s="39"/>
      <c r="Q16" s="2" t="s">
        <v>85</v>
      </c>
      <c r="R16" s="20">
        <f ca="1">TODAY()</f>
        <v>42684</v>
      </c>
      <c r="T16" s="16" t="s">
        <v>56</v>
      </c>
      <c r="Y16" s="2">
        <v>84</v>
      </c>
    </row>
    <row r="17" spans="1:25" ht="12.75" x14ac:dyDescent="0.25">
      <c r="A17" s="153"/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5"/>
      <c r="Q17" s="2" t="e">
        <f>IF(R10,DATED(R10,R16,"Y"),IF(R12,DATED(R12,R16,"Y")))</f>
        <v>#VALUE!</v>
      </c>
      <c r="R17" s="21" t="e">
        <f ca="1">DATEDIF(R12,TODAY(),"Y")</f>
        <v>#VALUE!</v>
      </c>
      <c r="T17" s="16" t="s">
        <v>57</v>
      </c>
      <c r="Y17" s="2">
        <v>85</v>
      </c>
    </row>
    <row r="18" spans="1:25" ht="12.75" x14ac:dyDescent="0.25">
      <c r="A18" s="63" t="s">
        <v>50</v>
      </c>
      <c r="B18" s="64"/>
      <c r="C18" s="64"/>
      <c r="D18" s="64"/>
      <c r="E18" s="64"/>
      <c r="F18" s="64"/>
      <c r="G18" s="64"/>
      <c r="H18" s="64"/>
      <c r="I18" s="64"/>
      <c r="J18" s="44">
        <v>0.6</v>
      </c>
      <c r="K18" s="74"/>
      <c r="L18" s="75"/>
      <c r="M18" s="75"/>
      <c r="N18" s="32">
        <f>N16*J18</f>
        <v>0</v>
      </c>
      <c r="P18" s="15">
        <v>0.5</v>
      </c>
      <c r="R18" s="7" t="e">
        <f ca="1">DATEDIF(R10,TODAY(),"Y")</f>
        <v>#VALUE!</v>
      </c>
      <c r="T18" s="16" t="s">
        <v>58</v>
      </c>
      <c r="Y18" s="2">
        <v>86</v>
      </c>
    </row>
    <row r="19" spans="1:25" ht="12.75" x14ac:dyDescent="0.25">
      <c r="A19" s="143" t="s">
        <v>9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8"/>
      <c r="L19" s="149"/>
      <c r="M19" s="149"/>
      <c r="N19" s="40">
        <v>1129.6199999999999</v>
      </c>
      <c r="P19" s="15">
        <v>0.6</v>
      </c>
      <c r="T19" s="16" t="s">
        <v>59</v>
      </c>
      <c r="Y19" s="2">
        <v>87</v>
      </c>
    </row>
    <row r="20" spans="1:25" ht="12.75" customHeight="1" x14ac:dyDescent="0.25">
      <c r="A20" s="143" t="s">
        <v>10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8"/>
      <c r="L20" s="149"/>
      <c r="M20" s="149"/>
      <c r="N20" s="40">
        <v>0</v>
      </c>
      <c r="T20" s="16"/>
      <c r="Y20" s="2">
        <v>88</v>
      </c>
    </row>
    <row r="21" spans="1:25" ht="12.75" customHeight="1" x14ac:dyDescent="0.25">
      <c r="A21" s="144" t="s">
        <v>51</v>
      </c>
      <c r="B21" s="144"/>
      <c r="C21" s="144"/>
      <c r="D21" s="144"/>
      <c r="E21" s="144"/>
      <c r="F21" s="144"/>
      <c r="G21" s="144"/>
      <c r="H21" s="144"/>
      <c r="I21" s="144"/>
      <c r="J21" s="144"/>
      <c r="K21" s="76"/>
      <c r="L21" s="77"/>
      <c r="M21" s="77"/>
      <c r="N21" s="31">
        <f>N18-N19-N20</f>
        <v>-1129.6199999999999</v>
      </c>
      <c r="T21" s="16"/>
      <c r="Y21" s="2">
        <v>89</v>
      </c>
    </row>
    <row r="22" spans="1:25" ht="12.75" customHeight="1" x14ac:dyDescent="0.25">
      <c r="A22" s="124"/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6"/>
      <c r="T22" s="16"/>
      <c r="Y22" s="2">
        <v>90</v>
      </c>
    </row>
    <row r="23" spans="1:25" ht="12.75" customHeight="1" x14ac:dyDescent="0.25">
      <c r="A23" s="145" t="s">
        <v>26</v>
      </c>
      <c r="B23" s="145"/>
      <c r="C23" s="145"/>
      <c r="D23" s="145"/>
      <c r="E23" s="145"/>
      <c r="F23" s="145"/>
      <c r="G23" s="145"/>
      <c r="H23" s="145"/>
      <c r="I23" s="145"/>
      <c r="J23" s="146" t="s">
        <v>11</v>
      </c>
      <c r="K23" s="146"/>
      <c r="L23" s="147" t="s">
        <v>35</v>
      </c>
      <c r="M23" s="147"/>
      <c r="N23" s="147"/>
      <c r="T23" s="16"/>
      <c r="Y23" s="2">
        <v>91</v>
      </c>
    </row>
    <row r="24" spans="1:25" ht="12.75" x14ac:dyDescent="0.25">
      <c r="A24" s="134"/>
      <c r="B24" s="135"/>
      <c r="C24" s="135"/>
      <c r="D24" s="135"/>
      <c r="E24" s="135"/>
      <c r="F24" s="135"/>
      <c r="G24" s="135"/>
      <c r="H24" s="135"/>
      <c r="I24" s="136"/>
      <c r="J24" s="137">
        <v>0</v>
      </c>
      <c r="K24" s="138"/>
      <c r="L24" s="137">
        <v>0</v>
      </c>
      <c r="M24" s="139"/>
      <c r="N24" s="138"/>
      <c r="T24" s="16"/>
      <c r="Y24" s="2">
        <v>92</v>
      </c>
    </row>
    <row r="25" spans="1:25" ht="12.75" x14ac:dyDescent="0.25">
      <c r="A25" s="134"/>
      <c r="B25" s="135"/>
      <c r="C25" s="135"/>
      <c r="D25" s="135"/>
      <c r="E25" s="135"/>
      <c r="F25" s="135"/>
      <c r="G25" s="135"/>
      <c r="H25" s="135"/>
      <c r="I25" s="136"/>
      <c r="J25" s="137">
        <v>0</v>
      </c>
      <c r="K25" s="138"/>
      <c r="L25" s="137">
        <v>0</v>
      </c>
      <c r="M25" s="139"/>
      <c r="N25" s="138"/>
      <c r="T25" s="16"/>
      <c r="Y25" s="2">
        <v>93</v>
      </c>
    </row>
    <row r="26" spans="1:25" ht="12.75" x14ac:dyDescent="0.25">
      <c r="A26" s="134"/>
      <c r="B26" s="135"/>
      <c r="C26" s="135"/>
      <c r="D26" s="135"/>
      <c r="E26" s="135"/>
      <c r="F26" s="135"/>
      <c r="G26" s="135"/>
      <c r="H26" s="135"/>
      <c r="I26" s="136"/>
      <c r="J26" s="137">
        <v>0</v>
      </c>
      <c r="K26" s="138"/>
      <c r="L26" s="137">
        <v>0</v>
      </c>
      <c r="M26" s="139"/>
      <c r="N26" s="138"/>
      <c r="T26" s="16"/>
      <c r="Y26" s="2">
        <v>94</v>
      </c>
    </row>
    <row r="27" spans="1:25" ht="12.75" x14ac:dyDescent="0.25">
      <c r="A27" s="134"/>
      <c r="B27" s="135"/>
      <c r="C27" s="135"/>
      <c r="D27" s="135"/>
      <c r="E27" s="135"/>
      <c r="F27" s="135"/>
      <c r="G27" s="135"/>
      <c r="H27" s="135"/>
      <c r="I27" s="136"/>
      <c r="J27" s="137">
        <v>0</v>
      </c>
      <c r="K27" s="138"/>
      <c r="L27" s="137">
        <v>0</v>
      </c>
      <c r="M27" s="139"/>
      <c r="N27" s="138"/>
      <c r="T27" s="16"/>
      <c r="Y27" s="2">
        <v>95</v>
      </c>
    </row>
    <row r="28" spans="1:25" ht="15" customHeight="1" x14ac:dyDescent="0.25">
      <c r="A28" s="140"/>
      <c r="B28" s="141"/>
      <c r="C28" s="141"/>
      <c r="D28" s="141"/>
      <c r="E28" s="141"/>
      <c r="F28" s="141"/>
      <c r="G28" s="141"/>
      <c r="H28" s="141"/>
      <c r="I28" s="142"/>
      <c r="J28" s="137">
        <v>0</v>
      </c>
      <c r="K28" s="138"/>
      <c r="L28" s="137">
        <v>0</v>
      </c>
      <c r="M28" s="139"/>
      <c r="N28" s="138"/>
      <c r="T28" s="16"/>
    </row>
    <row r="29" spans="1:25" ht="12.75" x14ac:dyDescent="0.25">
      <c r="A29" s="124" t="s">
        <v>12</v>
      </c>
      <c r="B29" s="125"/>
      <c r="C29" s="125"/>
      <c r="D29" s="125"/>
      <c r="E29" s="125"/>
      <c r="F29" s="125"/>
      <c r="G29" s="125"/>
      <c r="H29" s="125"/>
      <c r="I29" s="126"/>
      <c r="J29" s="76">
        <f>SUM(J24:K28)</f>
        <v>0</v>
      </c>
      <c r="K29" s="127"/>
      <c r="L29" s="76">
        <f>SUM(L24:N28)</f>
        <v>0</v>
      </c>
      <c r="M29" s="77"/>
      <c r="N29" s="127"/>
    </row>
    <row r="30" spans="1:25" ht="12.75" customHeight="1" x14ac:dyDescent="0.25">
      <c r="A30" s="128" t="s">
        <v>52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30"/>
      <c r="L30" s="76">
        <f>N21+L29</f>
        <v>-1129.6199999999999</v>
      </c>
      <c r="M30" s="77"/>
      <c r="N30" s="127"/>
    </row>
    <row r="31" spans="1:25" ht="12.75" x14ac:dyDescent="0.25">
      <c r="A31" s="131"/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3"/>
      <c r="P31" s="7" t="s">
        <v>17</v>
      </c>
      <c r="Q31" s="7" t="s">
        <v>18</v>
      </c>
      <c r="R31" s="29">
        <v>0</v>
      </c>
    </row>
    <row r="32" spans="1:25" ht="12.75" x14ac:dyDescent="0.25">
      <c r="A32" s="97" t="s">
        <v>16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9"/>
      <c r="P32" s="7">
        <v>25</v>
      </c>
      <c r="Q32" s="7">
        <v>0</v>
      </c>
      <c r="R32" s="29">
        <v>0.5</v>
      </c>
    </row>
    <row r="33" spans="1:21" ht="12.75" x14ac:dyDescent="0.25">
      <c r="A33" s="81" t="s">
        <v>82</v>
      </c>
      <c r="B33" s="82"/>
      <c r="C33" s="82"/>
      <c r="D33" s="82"/>
      <c r="E33" s="82"/>
      <c r="F33" s="82"/>
      <c r="G33" s="82"/>
      <c r="H33" s="82"/>
      <c r="I33" s="83"/>
      <c r="J33" s="41" t="s">
        <v>17</v>
      </c>
      <c r="K33" s="74"/>
      <c r="L33" s="75"/>
      <c r="M33" s="75"/>
      <c r="N33" s="32">
        <f>IF($J$33=$P$31,$P$32,IF($J$33=$Q$31,$Q$32))</f>
        <v>25</v>
      </c>
      <c r="R33" s="29">
        <v>1</v>
      </c>
    </row>
    <row r="34" spans="1:21" ht="12.75" x14ac:dyDescent="0.25">
      <c r="A34" s="63" t="s">
        <v>21</v>
      </c>
      <c r="B34" s="64"/>
      <c r="C34" s="64"/>
      <c r="D34" s="64"/>
      <c r="E34" s="64"/>
      <c r="F34" s="64"/>
      <c r="G34" s="64"/>
      <c r="H34" s="64"/>
      <c r="I34" s="64"/>
      <c r="J34" s="65"/>
      <c r="K34" s="74"/>
      <c r="L34" s="75"/>
      <c r="M34" s="75"/>
      <c r="N34" s="32">
        <f>L30-N33</f>
        <v>-1154.6199999999999</v>
      </c>
      <c r="O34" s="8"/>
      <c r="R34" s="29">
        <v>1.5</v>
      </c>
    </row>
    <row r="35" spans="1:21" ht="12.75" hidden="1" x14ac:dyDescent="0.25">
      <c r="A35" s="90" t="s">
        <v>21</v>
      </c>
      <c r="B35" s="91"/>
      <c r="C35" s="91"/>
      <c r="D35" s="91"/>
      <c r="E35" s="91"/>
      <c r="F35" s="91"/>
      <c r="G35" s="91"/>
      <c r="H35" s="91"/>
      <c r="I35" s="91"/>
      <c r="J35" s="92"/>
      <c r="K35" s="122"/>
      <c r="L35" s="123"/>
      <c r="M35" s="123"/>
      <c r="N35" s="35">
        <f>N34*(100%-2.12%)</f>
        <v>-1130.1420559999999</v>
      </c>
      <c r="R35" s="29">
        <v>2</v>
      </c>
    </row>
    <row r="36" spans="1:21" ht="12.75" x14ac:dyDescent="0.25">
      <c r="A36" s="110" t="s">
        <v>84</v>
      </c>
      <c r="B36" s="111"/>
      <c r="C36" s="111"/>
      <c r="D36" s="111"/>
      <c r="E36" s="111"/>
      <c r="F36" s="111"/>
      <c r="G36" s="111"/>
      <c r="H36" s="111"/>
      <c r="I36" s="111"/>
      <c r="J36" s="112"/>
      <c r="K36" s="113" t="e">
        <f ca="1">IF(L9-B9&lt;=10,L9-B9,10)</f>
        <v>#VALUE!</v>
      </c>
      <c r="L36" s="114"/>
      <c r="M36" s="114"/>
      <c r="N36" s="115"/>
      <c r="R36" s="29">
        <v>2.5</v>
      </c>
    </row>
    <row r="37" spans="1:21" ht="12.75" x14ac:dyDescent="0.25">
      <c r="A37" s="81" t="s">
        <v>14</v>
      </c>
      <c r="B37" s="82"/>
      <c r="C37" s="82"/>
      <c r="D37" s="82"/>
      <c r="E37" s="82"/>
      <c r="F37" s="82"/>
      <c r="G37" s="82"/>
      <c r="H37" s="82"/>
      <c r="I37" s="26" t="s">
        <v>97</v>
      </c>
      <c r="J37" s="42">
        <v>10</v>
      </c>
      <c r="K37" s="119" t="s">
        <v>95</v>
      </c>
      <c r="L37" s="120"/>
      <c r="M37" s="121"/>
      <c r="N37" s="28" t="e">
        <f ca="1">IF(J37&gt;K36,K36,J37)</f>
        <v>#VALUE!</v>
      </c>
      <c r="P37" s="29"/>
      <c r="R37" s="29">
        <v>3</v>
      </c>
    </row>
    <row r="38" spans="1:21" ht="12.75" x14ac:dyDescent="0.25">
      <c r="A38" s="110" t="s">
        <v>13</v>
      </c>
      <c r="B38" s="111"/>
      <c r="C38" s="111"/>
      <c r="D38" s="111"/>
      <c r="E38" s="111"/>
      <c r="F38" s="111"/>
      <c r="G38" s="111"/>
      <c r="H38" s="111"/>
      <c r="I38" s="111"/>
      <c r="J38" s="112"/>
      <c r="K38" s="116" t="e">
        <f ca="1">N37*12</f>
        <v>#VALUE!</v>
      </c>
      <c r="L38" s="117"/>
      <c r="M38" s="117"/>
      <c r="N38" s="118"/>
      <c r="R38" s="29">
        <v>3.5</v>
      </c>
    </row>
    <row r="39" spans="1:21" ht="12.75" x14ac:dyDescent="0.25">
      <c r="A39" s="63" t="s">
        <v>28</v>
      </c>
      <c r="B39" s="64"/>
      <c r="C39" s="64"/>
      <c r="D39" s="64"/>
      <c r="E39" s="64"/>
      <c r="F39" s="64"/>
      <c r="G39" s="64"/>
      <c r="H39" s="64"/>
      <c r="I39" s="64"/>
      <c r="J39" s="65"/>
      <c r="K39" s="116" t="e">
        <f ca="1">B9+N37</f>
        <v>#VALUE!</v>
      </c>
      <c r="L39" s="117"/>
      <c r="M39" s="117"/>
      <c r="N39" s="118"/>
      <c r="R39" s="29">
        <v>4</v>
      </c>
      <c r="U39" s="22"/>
    </row>
    <row r="40" spans="1:21" ht="15" customHeight="1" x14ac:dyDescent="0.25">
      <c r="A40" s="63" t="s">
        <v>80</v>
      </c>
      <c r="B40" s="64"/>
      <c r="C40" s="64"/>
      <c r="D40" s="64"/>
      <c r="E40" s="64"/>
      <c r="F40" s="64"/>
      <c r="G40" s="64"/>
      <c r="H40" s="64"/>
      <c r="I40" s="64"/>
      <c r="J40" s="65"/>
      <c r="K40" s="100">
        <v>8.99</v>
      </c>
      <c r="L40" s="101"/>
      <c r="M40" s="101"/>
      <c r="N40" s="102"/>
      <c r="R40" s="29">
        <v>4.5</v>
      </c>
    </row>
    <row r="41" spans="1:21" ht="12.75" hidden="1" x14ac:dyDescent="0.25">
      <c r="A41" s="84" t="s">
        <v>15</v>
      </c>
      <c r="B41" s="85"/>
      <c r="C41" s="85"/>
      <c r="D41" s="85"/>
      <c r="E41" s="85"/>
      <c r="F41" s="85"/>
      <c r="G41" s="85"/>
      <c r="H41" s="85"/>
      <c r="I41" s="85"/>
      <c r="J41" s="86"/>
      <c r="K41" s="93" t="e">
        <f ca="1">ROUNDUP((N35*K38)/(K40/100*(K38/12)+1),0)</f>
        <v>#VALUE!</v>
      </c>
      <c r="L41" s="93"/>
      <c r="M41" s="93"/>
      <c r="N41" s="93"/>
      <c r="R41" s="29">
        <v>5</v>
      </c>
    </row>
    <row r="42" spans="1:21" ht="12.75" x14ac:dyDescent="0.25">
      <c r="A42" s="69" t="s">
        <v>15</v>
      </c>
      <c r="B42" s="70"/>
      <c r="C42" s="70"/>
      <c r="D42" s="70"/>
      <c r="E42" s="70"/>
      <c r="F42" s="70"/>
      <c r="G42" s="70"/>
      <c r="H42" s="70"/>
      <c r="I42" s="70"/>
      <c r="J42" s="71"/>
      <c r="K42" s="76"/>
      <c r="L42" s="77"/>
      <c r="M42" s="77"/>
      <c r="N42" s="31" t="e">
        <f ca="1">IF($K$41&gt;150000,150000,$K$41)</f>
        <v>#VALUE!</v>
      </c>
      <c r="R42" s="29">
        <v>5.5</v>
      </c>
    </row>
    <row r="43" spans="1:21" ht="14.45" customHeight="1" x14ac:dyDescent="0.25">
      <c r="A43" s="94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6"/>
      <c r="R43" s="29">
        <v>6</v>
      </c>
    </row>
    <row r="44" spans="1:21" ht="14.45" customHeight="1" x14ac:dyDescent="0.25">
      <c r="A44" s="97" t="s">
        <v>20</v>
      </c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9"/>
      <c r="P44" s="6"/>
      <c r="R44" s="29">
        <v>6.5</v>
      </c>
    </row>
    <row r="45" spans="1:21" ht="14.45" hidden="1" customHeight="1" x14ac:dyDescent="0.25">
      <c r="A45" s="84" t="s">
        <v>87</v>
      </c>
      <c r="B45" s="85"/>
      <c r="C45" s="85"/>
      <c r="D45" s="85"/>
      <c r="E45" s="85"/>
      <c r="F45" s="85"/>
      <c r="G45" s="85"/>
      <c r="H45" s="85"/>
      <c r="I45" s="85"/>
      <c r="J45" s="86"/>
      <c r="K45" s="87" t="e">
        <f ca="1">IF(K41&gt;150000,150000,K41)</f>
        <v>#VALUE!</v>
      </c>
      <c r="L45" s="88"/>
      <c r="M45" s="88"/>
      <c r="N45" s="89"/>
      <c r="O45" s="8"/>
      <c r="P45" s="8" t="e">
        <f ca="1">N46*K40/100</f>
        <v>#VALUE!</v>
      </c>
      <c r="R45" s="29">
        <v>7</v>
      </c>
    </row>
    <row r="46" spans="1:21" ht="14.45" customHeight="1" x14ac:dyDescent="0.25">
      <c r="A46" s="27" t="s">
        <v>88</v>
      </c>
      <c r="B46" s="107" t="s">
        <v>97</v>
      </c>
      <c r="C46" s="108"/>
      <c r="D46" s="108"/>
      <c r="E46" s="108"/>
      <c r="F46" s="108"/>
      <c r="G46" s="108"/>
      <c r="H46" s="109"/>
      <c r="I46" s="106">
        <v>7900</v>
      </c>
      <c r="J46" s="106"/>
      <c r="K46" s="103" t="s">
        <v>96</v>
      </c>
      <c r="L46" s="104"/>
      <c r="M46" s="105"/>
      <c r="N46" s="37" t="e">
        <f ca="1">IF(I46&gt;=N42,FLOOR(N42,100),IF(I46&lt;N42,FLOOR(I46,100)))</f>
        <v>#VALUE!</v>
      </c>
      <c r="O46" s="8"/>
      <c r="P46" s="8"/>
      <c r="R46" s="29">
        <v>7.5</v>
      </c>
    </row>
    <row r="47" spans="1:21" ht="14.45" hidden="1" customHeight="1" x14ac:dyDescent="0.25">
      <c r="A47" s="90" t="s">
        <v>21</v>
      </c>
      <c r="B47" s="91"/>
      <c r="C47" s="91"/>
      <c r="D47" s="91"/>
      <c r="E47" s="91"/>
      <c r="F47" s="91"/>
      <c r="G47" s="91"/>
      <c r="H47" s="91"/>
      <c r="I47" s="91"/>
      <c r="J47" s="92"/>
      <c r="K47" s="33"/>
      <c r="L47" s="34"/>
      <c r="M47" s="34"/>
      <c r="N47" s="35" t="e">
        <f ca="1">$N$46/$K$38*($N$37*$K$40/100+1)</f>
        <v>#VALUE!</v>
      </c>
      <c r="O47" s="8"/>
      <c r="P47" s="8"/>
      <c r="R47" s="29">
        <v>8</v>
      </c>
    </row>
    <row r="48" spans="1:21" ht="14.45" hidden="1" customHeight="1" x14ac:dyDescent="0.25">
      <c r="A48" s="90" t="s">
        <v>33</v>
      </c>
      <c r="B48" s="91"/>
      <c r="C48" s="91"/>
      <c r="D48" s="91"/>
      <c r="E48" s="91"/>
      <c r="F48" s="91"/>
      <c r="G48" s="91"/>
      <c r="H48" s="91"/>
      <c r="I48" s="91"/>
      <c r="J48" s="92"/>
      <c r="K48" s="33"/>
      <c r="L48" s="34"/>
      <c r="M48" s="34"/>
      <c r="N48" s="35" t="e">
        <f ca="1">N47*2.12%</f>
        <v>#VALUE!</v>
      </c>
      <c r="O48" s="8"/>
      <c r="P48" s="8"/>
      <c r="R48" s="29">
        <v>8.5</v>
      </c>
    </row>
    <row r="49" spans="1:27" ht="14.45" customHeight="1" x14ac:dyDescent="0.25">
      <c r="A49" s="63" t="s">
        <v>21</v>
      </c>
      <c r="B49" s="64"/>
      <c r="C49" s="64"/>
      <c r="D49" s="64"/>
      <c r="E49" s="64"/>
      <c r="F49" s="64"/>
      <c r="G49" s="64"/>
      <c r="H49" s="64"/>
      <c r="I49" s="64"/>
      <c r="J49" s="65"/>
      <c r="K49" s="74"/>
      <c r="L49" s="75"/>
      <c r="M49" s="75"/>
      <c r="N49" s="32" t="e">
        <f ca="1">N47+N48</f>
        <v>#VALUE!</v>
      </c>
      <c r="O49" s="8"/>
      <c r="P49" s="8" t="e">
        <f ca="1">P45*N37</f>
        <v>#VALUE!</v>
      </c>
      <c r="R49" s="29">
        <v>9</v>
      </c>
      <c r="T49" s="2" t="s">
        <v>92</v>
      </c>
      <c r="U49" s="2" t="s">
        <v>90</v>
      </c>
      <c r="V49" s="2" t="s">
        <v>93</v>
      </c>
      <c r="W49" s="2" t="s">
        <v>91</v>
      </c>
      <c r="X49" s="2" t="s">
        <v>94</v>
      </c>
      <c r="Y49" s="2" t="s">
        <v>90</v>
      </c>
      <c r="Z49" s="2" t="s">
        <v>93</v>
      </c>
      <c r="AA49" s="2" t="s">
        <v>91</v>
      </c>
    </row>
    <row r="50" spans="1:27" ht="14.45" customHeight="1" x14ac:dyDescent="0.25">
      <c r="A50" s="63" t="s">
        <v>81</v>
      </c>
      <c r="B50" s="64"/>
      <c r="C50" s="64"/>
      <c r="D50" s="64"/>
      <c r="E50" s="64"/>
      <c r="F50" s="64"/>
      <c r="G50" s="64"/>
      <c r="H50" s="64"/>
      <c r="I50" s="65"/>
      <c r="J50" s="43">
        <f>IF(K40=U51,W51,IF(K40=Y53,AA53,IF(K40=U52,W52)))</f>
        <v>81</v>
      </c>
      <c r="K50" s="74"/>
      <c r="L50" s="75"/>
      <c r="M50" s="75"/>
      <c r="N50" s="32" t="e">
        <f ca="1">$N$46*$J$50/100</f>
        <v>#VALUE!</v>
      </c>
      <c r="O50" s="8"/>
      <c r="P50" s="8" t="e">
        <f ca="1">N46+P49</f>
        <v>#VALUE!</v>
      </c>
      <c r="R50" s="30">
        <v>9.5</v>
      </c>
      <c r="U50" s="17">
        <v>6.88</v>
      </c>
      <c r="V50" s="2">
        <v>1</v>
      </c>
      <c r="W50" s="24">
        <v>81</v>
      </c>
      <c r="Y50" s="17">
        <v>6.88</v>
      </c>
      <c r="Z50" s="2">
        <v>2</v>
      </c>
      <c r="AA50" s="24">
        <v>81</v>
      </c>
    </row>
    <row r="51" spans="1:27" ht="14.45" customHeight="1" x14ac:dyDescent="0.25">
      <c r="A51" s="63" t="s">
        <v>42</v>
      </c>
      <c r="B51" s="64"/>
      <c r="C51" s="64"/>
      <c r="D51" s="64"/>
      <c r="E51" s="64"/>
      <c r="F51" s="64"/>
      <c r="G51" s="64"/>
      <c r="H51" s="64"/>
      <c r="I51" s="64"/>
      <c r="J51" s="65"/>
      <c r="K51" s="74"/>
      <c r="L51" s="75"/>
      <c r="M51" s="75"/>
      <c r="N51" s="32" t="e">
        <f ca="1">ROUNDUP($N$46/1000,0)*5+10</f>
        <v>#VALUE!</v>
      </c>
      <c r="O51" s="8"/>
      <c r="P51" s="8" t="e">
        <f ca="1">P50/K38</f>
        <v>#VALUE!</v>
      </c>
      <c r="R51" s="30">
        <v>10</v>
      </c>
      <c r="U51" s="17">
        <v>8.99</v>
      </c>
      <c r="V51" s="2">
        <v>1</v>
      </c>
      <c r="W51" s="24">
        <v>81</v>
      </c>
      <c r="Y51" s="17">
        <v>6.99</v>
      </c>
      <c r="Z51" s="2">
        <v>2</v>
      </c>
      <c r="AA51" s="24">
        <v>93</v>
      </c>
    </row>
    <row r="52" spans="1:27" ht="14.45" customHeight="1" x14ac:dyDescent="0.25">
      <c r="A52" s="81" t="s">
        <v>83</v>
      </c>
      <c r="B52" s="82"/>
      <c r="C52" s="82"/>
      <c r="D52" s="82"/>
      <c r="E52" s="82"/>
      <c r="F52" s="82"/>
      <c r="G52" s="82"/>
      <c r="H52" s="82"/>
      <c r="I52" s="82"/>
      <c r="J52" s="83"/>
      <c r="K52" s="74"/>
      <c r="L52" s="75"/>
      <c r="M52" s="75"/>
      <c r="N52" s="32">
        <f>N33</f>
        <v>25</v>
      </c>
      <c r="R52" s="15"/>
      <c r="U52" s="17">
        <v>11</v>
      </c>
      <c r="V52" s="2">
        <v>2</v>
      </c>
      <c r="W52" s="24">
        <v>71</v>
      </c>
      <c r="Y52" s="17">
        <v>8.99</v>
      </c>
      <c r="Z52" s="2">
        <v>2</v>
      </c>
      <c r="AA52" s="24">
        <v>81</v>
      </c>
    </row>
    <row r="53" spans="1:27" ht="14.45" customHeight="1" x14ac:dyDescent="0.25">
      <c r="A53" s="78" t="s">
        <v>43</v>
      </c>
      <c r="B53" s="79"/>
      <c r="C53" s="79"/>
      <c r="D53" s="79"/>
      <c r="E53" s="79"/>
      <c r="F53" s="79"/>
      <c r="G53" s="79"/>
      <c r="H53" s="79"/>
      <c r="I53" s="79"/>
      <c r="J53" s="80"/>
      <c r="K53" s="74"/>
      <c r="L53" s="75"/>
      <c r="M53" s="75"/>
      <c r="N53" s="32" t="e">
        <f ca="1">($N$46-N50)*6%</f>
        <v>#VALUE!</v>
      </c>
      <c r="R53" s="15"/>
      <c r="Y53" s="17">
        <v>10</v>
      </c>
      <c r="Z53" s="2">
        <v>2</v>
      </c>
      <c r="AA53" s="25">
        <v>71</v>
      </c>
    </row>
    <row r="54" spans="1:27" ht="14.45" customHeight="1" x14ac:dyDescent="0.25">
      <c r="A54" s="63" t="s">
        <v>44</v>
      </c>
      <c r="B54" s="64"/>
      <c r="C54" s="64"/>
      <c r="D54" s="64"/>
      <c r="E54" s="64"/>
      <c r="F54" s="64"/>
      <c r="G54" s="64"/>
      <c r="H54" s="64"/>
      <c r="I54" s="64"/>
      <c r="J54" s="65"/>
      <c r="K54" s="74"/>
      <c r="L54" s="75"/>
      <c r="M54" s="75"/>
      <c r="N54" s="32" t="e">
        <f ca="1">IF($N$46&gt;0,$P$54,0)</f>
        <v>#VALUE!</v>
      </c>
      <c r="P54" s="17">
        <v>84.8</v>
      </c>
      <c r="R54" s="15"/>
    </row>
    <row r="55" spans="1:27" ht="14.45" customHeight="1" x14ac:dyDescent="0.25">
      <c r="A55" s="63" t="s">
        <v>45</v>
      </c>
      <c r="B55" s="64"/>
      <c r="C55" s="64"/>
      <c r="D55" s="64"/>
      <c r="E55" s="64"/>
      <c r="F55" s="64"/>
      <c r="G55" s="64"/>
      <c r="H55" s="64"/>
      <c r="I55" s="64"/>
      <c r="J55" s="65"/>
      <c r="K55" s="74"/>
      <c r="L55" s="75"/>
      <c r="M55" s="75"/>
      <c r="N55" s="32">
        <f>IF($L$29&gt;0,53,0)</f>
        <v>0</v>
      </c>
      <c r="R55" s="15"/>
    </row>
    <row r="56" spans="1:27" ht="14.45" customHeight="1" x14ac:dyDescent="0.25">
      <c r="A56" s="63" t="s">
        <v>46</v>
      </c>
      <c r="B56" s="64"/>
      <c r="C56" s="64"/>
      <c r="D56" s="64"/>
      <c r="E56" s="64"/>
      <c r="F56" s="64"/>
      <c r="G56" s="64"/>
      <c r="H56" s="64"/>
      <c r="I56" s="65"/>
      <c r="J56" s="23">
        <f>IF(J2=Q2,Z52,IF(K40=Y53,Z53,IF(K40=U52,V52,IF(J2=Q3,V51))))</f>
        <v>2</v>
      </c>
      <c r="K56" s="74"/>
      <c r="L56" s="75"/>
      <c r="M56" s="75"/>
      <c r="N56" s="32" t="e">
        <f ca="1">N47*$J$56</f>
        <v>#VALUE!</v>
      </c>
      <c r="R56" s="15"/>
    </row>
    <row r="57" spans="1:27" ht="14.45" customHeight="1" x14ac:dyDescent="0.25">
      <c r="A57" s="69" t="s">
        <v>24</v>
      </c>
      <c r="B57" s="70"/>
      <c r="C57" s="70"/>
      <c r="D57" s="70"/>
      <c r="E57" s="70"/>
      <c r="F57" s="70"/>
      <c r="G57" s="70"/>
      <c r="H57" s="70"/>
      <c r="I57" s="70"/>
      <c r="J57" s="71"/>
      <c r="K57" s="76"/>
      <c r="L57" s="77"/>
      <c r="M57" s="77"/>
      <c r="N57" s="31" t="e">
        <f ca="1">N50-N51-N52-N53-N54-N55-N56</f>
        <v>#VALUE!</v>
      </c>
      <c r="R57" s="15"/>
    </row>
    <row r="58" spans="1:27" ht="14.45" customHeight="1" x14ac:dyDescent="0.25">
      <c r="A58" s="63" t="s">
        <v>53</v>
      </c>
      <c r="B58" s="64"/>
      <c r="C58" s="64"/>
      <c r="D58" s="64"/>
      <c r="E58" s="64"/>
      <c r="F58" s="64"/>
      <c r="G58" s="64"/>
      <c r="H58" s="64"/>
      <c r="I58" s="64"/>
      <c r="J58" s="65"/>
      <c r="K58" s="74"/>
      <c r="L58" s="75"/>
      <c r="M58" s="75"/>
      <c r="N58" s="32">
        <f>$J$29</f>
        <v>0</v>
      </c>
      <c r="R58" s="15"/>
    </row>
    <row r="59" spans="1:27" ht="14.45" customHeight="1" x14ac:dyDescent="0.25">
      <c r="A59" s="66" t="s">
        <v>25</v>
      </c>
      <c r="B59" s="66"/>
      <c r="C59" s="66"/>
      <c r="D59" s="66"/>
      <c r="E59" s="66"/>
      <c r="F59" s="66"/>
      <c r="G59" s="66"/>
      <c r="H59" s="66"/>
      <c r="I59" s="67"/>
      <c r="J59" s="67"/>
      <c r="K59" s="72"/>
      <c r="L59" s="73"/>
      <c r="M59" s="73"/>
      <c r="N59" s="36" t="e">
        <f ca="1">N57-N58</f>
        <v>#VALUE!</v>
      </c>
      <c r="R59" s="15"/>
    </row>
    <row r="60" spans="1:27" ht="14.25" customHeight="1" x14ac:dyDescent="0.25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"/>
      <c r="P60" s="5"/>
      <c r="R60" s="15"/>
    </row>
    <row r="61" spans="1:27" ht="14.25" customHeight="1" x14ac:dyDescent="0.25">
      <c r="A61" s="11" t="s">
        <v>19</v>
      </c>
      <c r="B61" s="11"/>
      <c r="C61" s="11"/>
      <c r="D61" s="11"/>
      <c r="E61" s="11"/>
      <c r="F61" s="11"/>
      <c r="G61" s="11"/>
      <c r="H61" s="11"/>
      <c r="I61" s="12"/>
      <c r="J61" s="12"/>
      <c r="K61" s="45"/>
      <c r="L61" s="12"/>
      <c r="M61" s="12"/>
      <c r="N61" s="12"/>
      <c r="P61" s="5"/>
      <c r="R61" s="15"/>
    </row>
    <row r="62" spans="1:27" s="5" customFormat="1" ht="14.25" customHeight="1" x14ac:dyDescent="0.25">
      <c r="A62" s="11" t="s">
        <v>48</v>
      </c>
      <c r="B62" s="11"/>
      <c r="C62" s="11"/>
      <c r="D62" s="11"/>
      <c r="E62" s="11"/>
      <c r="F62" s="11"/>
      <c r="G62" s="11"/>
      <c r="H62" s="11"/>
      <c r="I62" s="12"/>
      <c r="J62" s="12"/>
      <c r="K62" s="12"/>
      <c r="L62" s="12"/>
      <c r="M62" s="12"/>
      <c r="N62" s="12"/>
      <c r="R62" s="15"/>
      <c r="T62" s="2"/>
      <c r="U62" s="2"/>
      <c r="V62" s="2"/>
    </row>
    <row r="63" spans="1:27" s="5" customFormat="1" ht="14.25" customHeight="1" x14ac:dyDescent="0.25">
      <c r="A63" s="11" t="s">
        <v>49</v>
      </c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T63" s="2"/>
    </row>
    <row r="64" spans="1:27" s="5" customFormat="1" ht="12.75" x14ac:dyDescent="0.25">
      <c r="A64" s="11"/>
      <c r="T64" s="2"/>
    </row>
    <row r="65" spans="1:22" s="5" customFormat="1" ht="14.25" customHeight="1" x14ac:dyDescent="0.25">
      <c r="A65" s="49" t="s">
        <v>98</v>
      </c>
      <c r="B65" s="52" t="s">
        <v>101</v>
      </c>
      <c r="C65" s="52"/>
      <c r="D65" s="52"/>
      <c r="E65" s="52"/>
      <c r="F65" s="52"/>
      <c r="G65" s="52"/>
      <c r="H65" s="52"/>
      <c r="I65" s="52"/>
      <c r="J65" s="50"/>
      <c r="K65" s="51" t="s">
        <v>99</v>
      </c>
      <c r="L65" s="52">
        <v>11049</v>
      </c>
      <c r="M65" s="52"/>
      <c r="N65" s="53"/>
      <c r="T65" s="2"/>
    </row>
    <row r="66" spans="1:22" s="5" customFormat="1" ht="14.25" customHeight="1" x14ac:dyDescent="0.25">
      <c r="A66" s="54" t="s">
        <v>100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6"/>
      <c r="T66" s="2"/>
    </row>
    <row r="67" spans="1:22" s="5" customFormat="1" ht="14.25" customHeight="1" x14ac:dyDescent="0.25">
      <c r="A67" s="57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9"/>
      <c r="T67" s="2"/>
    </row>
    <row r="68" spans="1:22" s="5" customFormat="1" ht="14.25" customHeight="1" x14ac:dyDescent="0.25">
      <c r="A68" s="57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9"/>
    </row>
    <row r="69" spans="1:22" s="5" customFormat="1" ht="14.25" customHeight="1" x14ac:dyDescent="0.25">
      <c r="A69" s="57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  <c r="P69" s="2"/>
    </row>
    <row r="70" spans="1:22" s="5" customFormat="1" ht="14.25" customHeight="1" x14ac:dyDescent="0.25">
      <c r="A70" s="60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  <c r="P70" s="2"/>
      <c r="R70" s="2"/>
    </row>
    <row r="71" spans="1:22" ht="14.25" customHeight="1" x14ac:dyDescent="0.25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8"/>
      <c r="T71" s="5"/>
      <c r="U71" s="5"/>
      <c r="V71" s="5"/>
    </row>
    <row r="72" spans="1:22" ht="14.25" hidden="1" customHeight="1" x14ac:dyDescent="0.25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8"/>
      <c r="T72" s="5"/>
    </row>
    <row r="73" spans="1:22" ht="14.25" hidden="1" customHeight="1" x14ac:dyDescent="0.25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T73" s="5"/>
    </row>
    <row r="74" spans="1:22" ht="14.25" hidden="1" customHeight="1" x14ac:dyDescent="0.25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T74" s="5"/>
    </row>
    <row r="75" spans="1:22" ht="14.25" hidden="1" customHeight="1" x14ac:dyDescent="0.25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T75" s="5"/>
    </row>
    <row r="76" spans="1:22" ht="14.25" hidden="1" customHeight="1" x14ac:dyDescent="0.25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T76" s="5"/>
    </row>
    <row r="77" spans="1:22" ht="14.25" hidden="1" customHeight="1" x14ac:dyDescent="0.25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</row>
    <row r="78" spans="1:22" ht="14.25" hidden="1" customHeight="1" x14ac:dyDescent="0.2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</row>
    <row r="79" spans="1:22" ht="14.25" hidden="1" customHeight="1" x14ac:dyDescent="0.25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</row>
    <row r="80" spans="1:22" ht="14.25" hidden="1" customHeight="1" x14ac:dyDescent="0.25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</row>
    <row r="81" spans="1:14" ht="14.25" hidden="1" customHeight="1" x14ac:dyDescent="0.25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</row>
    <row r="82" spans="1:14" ht="14.25" hidden="1" customHeight="1" x14ac:dyDescent="0.25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</row>
    <row r="83" spans="1:14" ht="14.25" hidden="1" customHeight="1" x14ac:dyDescent="0.25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</row>
    <row r="84" spans="1:14" ht="14.25" hidden="1" customHeight="1" x14ac:dyDescent="0.25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</row>
    <row r="85" spans="1:14" ht="14.25" hidden="1" customHeight="1" x14ac:dyDescent="0.25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</row>
    <row r="86" spans="1:14" ht="14.25" hidden="1" customHeight="1" x14ac:dyDescent="0.25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</row>
    <row r="87" spans="1:14" ht="14.25" hidden="1" customHeight="1" x14ac:dyDescent="0.25">
      <c r="A87" s="46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</row>
    <row r="88" spans="1:14" ht="14.25" hidden="1" customHeight="1" x14ac:dyDescent="0.25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</row>
    <row r="89" spans="1:14" ht="14.25" hidden="1" customHeight="1" x14ac:dyDescent="0.25">
      <c r="A89" s="46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</row>
    <row r="90" spans="1:14" ht="14.25" hidden="1" customHeight="1" x14ac:dyDescent="0.25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</row>
    <row r="91" spans="1:14" ht="14.25" hidden="1" customHeight="1" x14ac:dyDescent="0.25">
      <c r="A91" s="46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</row>
    <row r="92" spans="1:14" hidden="1" x14ac:dyDescent="0.25"/>
  </sheetData>
  <sheetProtection password="E87C" sheet="1" objects="1" scenarios="1" selectLockedCells="1"/>
  <mergeCells count="119">
    <mergeCell ref="A2:I2"/>
    <mergeCell ref="J2:N2"/>
    <mergeCell ref="A4:N4"/>
    <mergeCell ref="A5:J5"/>
    <mergeCell ref="K5:N5"/>
    <mergeCell ref="B6:J6"/>
    <mergeCell ref="L6:N6"/>
    <mergeCell ref="D10:J10"/>
    <mergeCell ref="B10:C10"/>
    <mergeCell ref="D11:J11"/>
    <mergeCell ref="B11:C11"/>
    <mergeCell ref="L11:M11"/>
    <mergeCell ref="L7:N7"/>
    <mergeCell ref="B8:J8"/>
    <mergeCell ref="L8:N8"/>
    <mergeCell ref="B9:J9"/>
    <mergeCell ref="K9:K10"/>
    <mergeCell ref="L9:N10"/>
    <mergeCell ref="B7:J7"/>
    <mergeCell ref="A16:J16"/>
    <mergeCell ref="A17:N17"/>
    <mergeCell ref="A18:I18"/>
    <mergeCell ref="A19:J19"/>
    <mergeCell ref="A12:N12"/>
    <mergeCell ref="A13:N13"/>
    <mergeCell ref="A14:J14"/>
    <mergeCell ref="K14:N14"/>
    <mergeCell ref="A15:J15"/>
    <mergeCell ref="K15:N15"/>
    <mergeCell ref="K16:M16"/>
    <mergeCell ref="K18:M18"/>
    <mergeCell ref="K19:M19"/>
    <mergeCell ref="A24:I24"/>
    <mergeCell ref="J24:K24"/>
    <mergeCell ref="L24:N24"/>
    <mergeCell ref="A25:I25"/>
    <mergeCell ref="J25:K25"/>
    <mergeCell ref="L25:N25"/>
    <mergeCell ref="A20:J20"/>
    <mergeCell ref="A21:J21"/>
    <mergeCell ref="A22:N22"/>
    <mergeCell ref="A23:I23"/>
    <mergeCell ref="J23:K23"/>
    <mergeCell ref="L23:N23"/>
    <mergeCell ref="K20:M20"/>
    <mergeCell ref="K21:M21"/>
    <mergeCell ref="A29:I29"/>
    <mergeCell ref="J29:K29"/>
    <mergeCell ref="L29:N29"/>
    <mergeCell ref="A30:K30"/>
    <mergeCell ref="L30:N30"/>
    <mergeCell ref="A31:N31"/>
    <mergeCell ref="A26:I26"/>
    <mergeCell ref="J26:K26"/>
    <mergeCell ref="L26:N26"/>
    <mergeCell ref="A27:I27"/>
    <mergeCell ref="J27:K27"/>
    <mergeCell ref="L27:N27"/>
    <mergeCell ref="A28:I28"/>
    <mergeCell ref="J28:K28"/>
    <mergeCell ref="L28:N28"/>
    <mergeCell ref="A36:J36"/>
    <mergeCell ref="K36:N36"/>
    <mergeCell ref="A38:J38"/>
    <mergeCell ref="K38:N38"/>
    <mergeCell ref="A39:J39"/>
    <mergeCell ref="K39:N39"/>
    <mergeCell ref="A32:N32"/>
    <mergeCell ref="A34:J34"/>
    <mergeCell ref="A35:J35"/>
    <mergeCell ref="A33:I33"/>
    <mergeCell ref="K37:M37"/>
    <mergeCell ref="A37:H37"/>
    <mergeCell ref="K33:M33"/>
    <mergeCell ref="K34:M34"/>
    <mergeCell ref="K35:M35"/>
    <mergeCell ref="A45:J45"/>
    <mergeCell ref="K45:N45"/>
    <mergeCell ref="A47:J47"/>
    <mergeCell ref="A48:J48"/>
    <mergeCell ref="A40:J40"/>
    <mergeCell ref="A41:J41"/>
    <mergeCell ref="K41:N41"/>
    <mergeCell ref="A43:N43"/>
    <mergeCell ref="A44:N44"/>
    <mergeCell ref="K40:N40"/>
    <mergeCell ref="A42:J42"/>
    <mergeCell ref="K46:M46"/>
    <mergeCell ref="I46:J46"/>
    <mergeCell ref="B46:H46"/>
    <mergeCell ref="K42:M42"/>
    <mergeCell ref="A53:J53"/>
    <mergeCell ref="A54:J54"/>
    <mergeCell ref="A49:J49"/>
    <mergeCell ref="A50:I50"/>
    <mergeCell ref="A51:J51"/>
    <mergeCell ref="A52:J52"/>
    <mergeCell ref="K49:M49"/>
    <mergeCell ref="K54:M54"/>
    <mergeCell ref="K53:M53"/>
    <mergeCell ref="K52:M52"/>
    <mergeCell ref="K51:M51"/>
    <mergeCell ref="K50:M50"/>
    <mergeCell ref="L65:N65"/>
    <mergeCell ref="B65:I65"/>
    <mergeCell ref="A66:N66"/>
    <mergeCell ref="A67:N70"/>
    <mergeCell ref="A58:J58"/>
    <mergeCell ref="A59:J59"/>
    <mergeCell ref="K60:N60"/>
    <mergeCell ref="A55:J55"/>
    <mergeCell ref="A56:I56"/>
    <mergeCell ref="A57:J57"/>
    <mergeCell ref="K59:M59"/>
    <mergeCell ref="K58:M58"/>
    <mergeCell ref="K57:M57"/>
    <mergeCell ref="K56:M56"/>
    <mergeCell ref="K55:M55"/>
    <mergeCell ref="A60:J60"/>
  </mergeCells>
  <dataValidations count="18">
    <dataValidation type="list" allowBlank="1" showInputMessage="1" showErrorMessage="1" sqref="J18">
      <formula1>$P$18:$P$19</formula1>
    </dataValidation>
    <dataValidation type="list" allowBlank="1" showInputMessage="1" showErrorMessage="1" sqref="J2">
      <formula1>$Q$2:$Q$3</formula1>
    </dataValidation>
    <dataValidation type="list" allowBlank="1" showInputMessage="1" showErrorMessage="1" sqref="J33">
      <formula1>$P$31:$Q$31</formula1>
    </dataValidation>
    <dataValidation type="list" allowBlank="1" showInputMessage="1" showErrorMessage="1" sqref="B10:C10 L11:M11">
      <formula1>$T$6:$T$19</formula1>
    </dataValidation>
    <dataValidation type="list" allowBlank="1" showInputMessage="1" showErrorMessage="1" sqref="B11:C11">
      <formula1>$V$6:$V$15</formula1>
    </dataValidation>
    <dataValidation type="list" allowBlank="1" showInputMessage="1" showErrorMessage="1" sqref="L8:N8">
      <formula1>$W$2:$W$12</formula1>
    </dataValidation>
    <dataValidation type="decimal" allowBlank="1" showInputMessage="1" showErrorMessage="1" sqref="K14:N15">
      <formula1>0</formula1>
      <formula2>999999.99</formula2>
    </dataValidation>
    <dataValidation type="whole" allowBlank="1" showInputMessage="1" showErrorMessage="1" sqref="D10:J11 N11">
      <formula1>0</formula1>
      <formula2>9999999999</formula2>
    </dataValidation>
    <dataValidation type="list" allowBlank="1" showInputMessage="1" showErrorMessage="1" sqref="K40:N40">
      <formula1>$X$5:$X$7</formula1>
    </dataValidation>
    <dataValidation type="list" allowBlank="1" showInputMessage="1" showErrorMessage="1" sqref="J50">
      <formula1>$Y$2:$Y$27</formula1>
    </dataValidation>
    <dataValidation type="custom" allowBlank="1" showInputMessage="1" showErrorMessage="1" sqref="B6:J6 L6:N7 A24:I28">
      <formula1>ISTEXT(A6)</formula1>
    </dataValidation>
    <dataValidation type="whole" allowBlank="1" showInputMessage="1" showErrorMessage="1" sqref="B7:J7">
      <formula1>0</formula1>
      <formula2>999999999999</formula2>
    </dataValidation>
    <dataValidation type="decimal" operator="lessThanOrEqual" allowBlank="1" showInputMessage="1" showErrorMessage="1" error="Loan tenure should not exceed max tenure eligible" sqref="N37">
      <formula1>N36</formula1>
    </dataValidation>
    <dataValidation type="decimal" operator="greaterThanOrEqual" allowBlank="1" showInputMessage="1" showErrorMessage="1" error="Gross Income Less Than RM1500" sqref="K16 N16">
      <formula1>1500</formula1>
    </dataValidation>
    <dataValidation type="whole" operator="greaterThanOrEqual" allowBlank="1" showInputMessage="1" showErrorMessage="1" error="Min customer age eligible is 20 and above" sqref="B9:J9">
      <formula1>20</formula1>
    </dataValidation>
    <dataValidation type="decimal" allowBlank="1" showInputMessage="1" showErrorMessage="1" sqref="J24:N28 K19:K20 N19:N20">
      <formula1>0</formula1>
      <formula2>9999999</formula2>
    </dataValidation>
    <dataValidation type="list" allowBlank="1" showInputMessage="1" showErrorMessage="1" sqref="J37">
      <formula1>$R$33:$R$51</formula1>
    </dataValidation>
    <dataValidation type="decimal" allowBlank="1" showInputMessage="1" showErrorMessage="1" sqref="I46:J46">
      <formula1>2500</formula1>
      <formula2>N42</formula2>
    </dataValidation>
  </dataValidations>
  <pageMargins left="0.3" right="0.3" top="0" bottom="0" header="0" footer="0"/>
  <pageSetup paperSize="9" scale="9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Loan Eligible Calculation</vt:lpstr>
      <vt:lpstr>'Loan Eligible Calculation'!_19_04_1987</vt:lpstr>
      <vt:lpstr>'Loan Eligible Calculation'!Print_Area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jittee.goh</dc:creator>
  <cp:lastModifiedBy>user</cp:lastModifiedBy>
  <cp:lastPrinted>2016-11-02T04:04:11Z</cp:lastPrinted>
  <dcterms:created xsi:type="dcterms:W3CDTF">2010-12-13T06:19:56Z</dcterms:created>
  <dcterms:modified xsi:type="dcterms:W3CDTF">2016-11-10T03:30:39Z</dcterms:modified>
</cp:coreProperties>
</file>